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tt/Downloads/"/>
    </mc:Choice>
  </mc:AlternateContent>
  <xr:revisionPtr revIDLastSave="0" documentId="8_{FDF51ED7-D145-2E4B-A6A2-AD3FB85E1685}" xr6:coauthVersionLast="47" xr6:coauthVersionMax="47" xr10:uidLastSave="{00000000-0000-0000-0000-000000000000}"/>
  <bookViews>
    <workbookView xWindow="-27480" yWindow="3060" windowWidth="19420" windowHeight="10300" xr2:uid="{00000000-000D-0000-FFFF-FFFF00000000}"/>
  </bookViews>
  <sheets>
    <sheet name="Sheet0" sheetId="1" r:id="rId1"/>
  </sheets>
  <definedNames>
    <definedName name="_xlnm._FilterDatabase" localSheetId="0" hidden="1">Sheet0!$A$1:$I$359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9" i="1" l="1"/>
  <c r="G359" i="1"/>
  <c r="E359" i="1"/>
  <c r="D359" i="1"/>
  <c r="C359" i="1"/>
  <c r="A359" i="1"/>
  <c r="I358" i="1"/>
  <c r="G358" i="1"/>
  <c r="E358" i="1"/>
  <c r="D358" i="1"/>
  <c r="C358" i="1"/>
  <c r="A358" i="1"/>
  <c r="I357" i="1"/>
  <c r="G357" i="1"/>
  <c r="E357" i="1"/>
  <c r="D357" i="1"/>
  <c r="C357" i="1"/>
  <c r="A357" i="1"/>
  <c r="I356" i="1"/>
  <c r="G356" i="1"/>
  <c r="E356" i="1"/>
  <c r="D356" i="1"/>
  <c r="C356" i="1"/>
  <c r="A356" i="1"/>
  <c r="I355" i="1"/>
  <c r="G355" i="1"/>
  <c r="E355" i="1"/>
  <c r="D355" i="1"/>
  <c r="C355" i="1"/>
  <c r="A355" i="1"/>
  <c r="I354" i="1"/>
  <c r="G354" i="1"/>
  <c r="E354" i="1"/>
  <c r="D354" i="1"/>
  <c r="C354" i="1"/>
  <c r="A354" i="1"/>
  <c r="I353" i="1"/>
  <c r="G353" i="1"/>
  <c r="E353" i="1"/>
  <c r="D353" i="1"/>
  <c r="C353" i="1"/>
  <c r="A353" i="1"/>
  <c r="I352" i="1"/>
  <c r="G352" i="1"/>
  <c r="E352" i="1"/>
  <c r="D352" i="1"/>
  <c r="C352" i="1"/>
  <c r="A352" i="1"/>
  <c r="I351" i="1"/>
  <c r="G351" i="1"/>
  <c r="E351" i="1"/>
  <c r="D351" i="1"/>
  <c r="C351" i="1"/>
  <c r="A351" i="1"/>
  <c r="I350" i="1"/>
  <c r="G350" i="1"/>
  <c r="E350" i="1"/>
  <c r="D350" i="1"/>
  <c r="C350" i="1"/>
  <c r="A350" i="1"/>
  <c r="I349" i="1"/>
  <c r="G349" i="1"/>
  <c r="E349" i="1"/>
  <c r="D349" i="1"/>
  <c r="C349" i="1"/>
  <c r="A349" i="1"/>
  <c r="I348" i="1"/>
  <c r="G348" i="1"/>
  <c r="E348" i="1"/>
  <c r="D348" i="1"/>
  <c r="C348" i="1"/>
  <c r="A348" i="1"/>
  <c r="I347" i="1"/>
  <c r="G347" i="1"/>
  <c r="E347" i="1"/>
  <c r="D347" i="1"/>
  <c r="C347" i="1"/>
  <c r="A347" i="1"/>
  <c r="I346" i="1"/>
  <c r="G346" i="1"/>
  <c r="E346" i="1"/>
  <c r="D346" i="1"/>
  <c r="C346" i="1"/>
  <c r="A346" i="1"/>
  <c r="I345" i="1"/>
  <c r="G345" i="1"/>
  <c r="E345" i="1"/>
  <c r="D345" i="1"/>
  <c r="C345" i="1"/>
  <c r="A345" i="1"/>
  <c r="I344" i="1"/>
  <c r="G344" i="1"/>
  <c r="E344" i="1"/>
  <c r="D344" i="1"/>
  <c r="C344" i="1"/>
  <c r="A344" i="1"/>
  <c r="I343" i="1"/>
  <c r="G343" i="1"/>
  <c r="E343" i="1"/>
  <c r="D343" i="1"/>
  <c r="C343" i="1"/>
  <c r="A343" i="1"/>
  <c r="I342" i="1"/>
  <c r="G342" i="1"/>
  <c r="E342" i="1"/>
  <c r="D342" i="1"/>
  <c r="C342" i="1"/>
  <c r="A342" i="1"/>
  <c r="I341" i="1"/>
  <c r="G341" i="1"/>
  <c r="E341" i="1"/>
  <c r="D341" i="1"/>
  <c r="C341" i="1"/>
  <c r="A341" i="1"/>
  <c r="I340" i="1"/>
  <c r="G340" i="1"/>
  <c r="E340" i="1"/>
  <c r="D340" i="1"/>
  <c r="C340" i="1"/>
  <c r="A340" i="1"/>
  <c r="I339" i="1"/>
  <c r="G339" i="1"/>
  <c r="E339" i="1"/>
  <c r="D339" i="1"/>
  <c r="C339" i="1"/>
  <c r="A339" i="1"/>
  <c r="I338" i="1"/>
  <c r="G338" i="1"/>
  <c r="E338" i="1"/>
  <c r="D338" i="1"/>
  <c r="C338" i="1"/>
  <c r="A338" i="1"/>
  <c r="I337" i="1"/>
  <c r="G337" i="1"/>
  <c r="E337" i="1"/>
  <c r="D337" i="1"/>
  <c r="C337" i="1"/>
  <c r="A337" i="1"/>
  <c r="I336" i="1"/>
  <c r="G336" i="1"/>
  <c r="E336" i="1"/>
  <c r="D336" i="1"/>
  <c r="C336" i="1"/>
  <c r="A336" i="1"/>
  <c r="I335" i="1"/>
  <c r="G335" i="1"/>
  <c r="E335" i="1"/>
  <c r="D335" i="1"/>
  <c r="C335" i="1"/>
  <c r="A335" i="1"/>
  <c r="I334" i="1"/>
  <c r="G334" i="1"/>
  <c r="E334" i="1"/>
  <c r="D334" i="1"/>
  <c r="C334" i="1"/>
  <c r="A334" i="1"/>
  <c r="I333" i="1"/>
  <c r="G333" i="1"/>
  <c r="E333" i="1"/>
  <c r="D333" i="1"/>
  <c r="C333" i="1"/>
  <c r="A333" i="1"/>
  <c r="I332" i="1"/>
  <c r="G332" i="1"/>
  <c r="E332" i="1"/>
  <c r="D332" i="1"/>
  <c r="C332" i="1"/>
  <c r="A332" i="1"/>
  <c r="I331" i="1"/>
  <c r="G331" i="1"/>
  <c r="E331" i="1"/>
  <c r="D331" i="1"/>
  <c r="C331" i="1"/>
  <c r="A331" i="1"/>
  <c r="I330" i="1"/>
  <c r="G330" i="1"/>
  <c r="E330" i="1"/>
  <c r="D330" i="1"/>
  <c r="C330" i="1"/>
  <c r="A330" i="1"/>
  <c r="I329" i="1"/>
  <c r="G329" i="1"/>
  <c r="E329" i="1"/>
  <c r="D329" i="1"/>
  <c r="C329" i="1"/>
  <c r="A329" i="1"/>
  <c r="I328" i="1"/>
  <c r="G328" i="1"/>
  <c r="E328" i="1"/>
  <c r="D328" i="1"/>
  <c r="C328" i="1"/>
  <c r="A328" i="1"/>
  <c r="I327" i="1"/>
  <c r="G327" i="1"/>
  <c r="E327" i="1"/>
  <c r="D327" i="1"/>
  <c r="C327" i="1"/>
  <c r="A327" i="1"/>
  <c r="I326" i="1"/>
  <c r="G326" i="1"/>
  <c r="E326" i="1"/>
  <c r="D326" i="1"/>
  <c r="C326" i="1"/>
  <c r="A326" i="1"/>
  <c r="I325" i="1"/>
  <c r="G325" i="1"/>
  <c r="E325" i="1"/>
  <c r="D325" i="1"/>
  <c r="C325" i="1"/>
  <c r="A325" i="1"/>
  <c r="I324" i="1"/>
  <c r="G324" i="1"/>
  <c r="E324" i="1"/>
  <c r="D324" i="1"/>
  <c r="C324" i="1"/>
  <c r="A324" i="1"/>
  <c r="I323" i="1"/>
  <c r="G323" i="1"/>
  <c r="E323" i="1"/>
  <c r="D323" i="1"/>
  <c r="C323" i="1"/>
  <c r="A323" i="1"/>
  <c r="I322" i="1"/>
  <c r="G322" i="1"/>
  <c r="E322" i="1"/>
  <c r="D322" i="1"/>
  <c r="C322" i="1"/>
  <c r="A322" i="1"/>
  <c r="I321" i="1"/>
  <c r="G321" i="1"/>
  <c r="E321" i="1"/>
  <c r="D321" i="1"/>
  <c r="C321" i="1"/>
  <c r="A321" i="1"/>
  <c r="I320" i="1"/>
  <c r="G320" i="1"/>
  <c r="E320" i="1"/>
  <c r="D320" i="1"/>
  <c r="C320" i="1"/>
  <c r="A320" i="1"/>
  <c r="I319" i="1"/>
  <c r="G319" i="1"/>
  <c r="E319" i="1"/>
  <c r="D319" i="1"/>
  <c r="C319" i="1"/>
  <c r="A319" i="1"/>
  <c r="I318" i="1"/>
  <c r="G318" i="1"/>
  <c r="E318" i="1"/>
  <c r="D318" i="1"/>
  <c r="C318" i="1"/>
  <c r="A318" i="1"/>
  <c r="I317" i="1"/>
  <c r="G317" i="1"/>
  <c r="E317" i="1"/>
  <c r="D317" i="1"/>
  <c r="C317" i="1"/>
  <c r="A317" i="1"/>
  <c r="I316" i="1"/>
  <c r="G316" i="1"/>
  <c r="E316" i="1"/>
  <c r="D316" i="1"/>
  <c r="C316" i="1"/>
  <c r="A316" i="1"/>
  <c r="I315" i="1"/>
  <c r="G315" i="1"/>
  <c r="E315" i="1"/>
  <c r="D315" i="1"/>
  <c r="C315" i="1"/>
  <c r="A315" i="1"/>
  <c r="I314" i="1"/>
  <c r="G314" i="1"/>
  <c r="E314" i="1"/>
  <c r="D314" i="1"/>
  <c r="C314" i="1"/>
  <c r="A314" i="1"/>
  <c r="I313" i="1"/>
  <c r="G313" i="1"/>
  <c r="E313" i="1"/>
  <c r="D313" i="1"/>
  <c r="C313" i="1"/>
  <c r="A313" i="1"/>
  <c r="I312" i="1"/>
  <c r="G312" i="1"/>
  <c r="E312" i="1"/>
  <c r="D312" i="1"/>
  <c r="C312" i="1"/>
  <c r="A312" i="1"/>
  <c r="I311" i="1"/>
  <c r="G311" i="1"/>
  <c r="E311" i="1"/>
  <c r="D311" i="1"/>
  <c r="C311" i="1"/>
  <c r="A311" i="1"/>
  <c r="I310" i="1"/>
  <c r="G310" i="1"/>
  <c r="E310" i="1"/>
  <c r="D310" i="1"/>
  <c r="C310" i="1"/>
  <c r="A310" i="1"/>
  <c r="I309" i="1"/>
  <c r="G309" i="1"/>
  <c r="E309" i="1"/>
  <c r="D309" i="1"/>
  <c r="C309" i="1"/>
  <c r="A309" i="1"/>
  <c r="I308" i="1"/>
  <c r="G308" i="1"/>
  <c r="E308" i="1"/>
  <c r="D308" i="1"/>
  <c r="C308" i="1"/>
  <c r="A308" i="1"/>
  <c r="I307" i="1"/>
  <c r="G307" i="1"/>
  <c r="E307" i="1"/>
  <c r="D307" i="1"/>
  <c r="C307" i="1"/>
  <c r="A307" i="1"/>
  <c r="I306" i="1"/>
  <c r="G306" i="1"/>
  <c r="E306" i="1"/>
  <c r="D306" i="1"/>
  <c r="C306" i="1"/>
  <c r="A306" i="1"/>
  <c r="I305" i="1"/>
  <c r="G305" i="1"/>
  <c r="E305" i="1"/>
  <c r="D305" i="1"/>
  <c r="C305" i="1"/>
  <c r="A305" i="1"/>
  <c r="I304" i="1"/>
  <c r="G304" i="1"/>
  <c r="E304" i="1"/>
  <c r="D304" i="1"/>
  <c r="C304" i="1"/>
  <c r="A304" i="1"/>
  <c r="I303" i="1"/>
  <c r="G303" i="1"/>
  <c r="E303" i="1"/>
  <c r="D303" i="1"/>
  <c r="C303" i="1"/>
  <c r="A303" i="1"/>
  <c r="I302" i="1"/>
  <c r="G302" i="1"/>
  <c r="E302" i="1"/>
  <c r="D302" i="1"/>
  <c r="C302" i="1"/>
  <c r="A302" i="1"/>
  <c r="I301" i="1"/>
  <c r="G301" i="1"/>
  <c r="E301" i="1"/>
  <c r="D301" i="1"/>
  <c r="C301" i="1"/>
  <c r="A301" i="1"/>
  <c r="I300" i="1"/>
  <c r="G300" i="1"/>
  <c r="E300" i="1"/>
  <c r="D300" i="1"/>
  <c r="C300" i="1"/>
  <c r="A300" i="1"/>
  <c r="I299" i="1"/>
  <c r="G299" i="1"/>
  <c r="E299" i="1"/>
  <c r="D299" i="1"/>
  <c r="C299" i="1"/>
  <c r="A299" i="1"/>
  <c r="I298" i="1"/>
  <c r="G298" i="1"/>
  <c r="E298" i="1"/>
  <c r="D298" i="1"/>
  <c r="C298" i="1"/>
  <c r="A298" i="1"/>
  <c r="I297" i="1"/>
  <c r="G297" i="1"/>
  <c r="E297" i="1"/>
  <c r="D297" i="1"/>
  <c r="C297" i="1"/>
  <c r="A297" i="1"/>
  <c r="I296" i="1"/>
  <c r="G296" i="1"/>
  <c r="E296" i="1"/>
  <c r="D296" i="1"/>
  <c r="C296" i="1"/>
  <c r="A296" i="1"/>
  <c r="I295" i="1"/>
  <c r="G295" i="1"/>
  <c r="E295" i="1"/>
  <c r="D295" i="1"/>
  <c r="C295" i="1"/>
  <c r="A295" i="1"/>
  <c r="I294" i="1"/>
  <c r="G294" i="1"/>
  <c r="E294" i="1"/>
  <c r="D294" i="1"/>
  <c r="C294" i="1"/>
  <c r="A294" i="1"/>
  <c r="I293" i="1"/>
  <c r="G293" i="1"/>
  <c r="E293" i="1"/>
  <c r="D293" i="1"/>
  <c r="C293" i="1"/>
  <c r="A293" i="1"/>
  <c r="I292" i="1"/>
  <c r="G292" i="1"/>
  <c r="E292" i="1"/>
  <c r="D292" i="1"/>
  <c r="C292" i="1"/>
  <c r="A292" i="1"/>
  <c r="I291" i="1"/>
  <c r="G291" i="1"/>
  <c r="E291" i="1"/>
  <c r="D291" i="1"/>
  <c r="C291" i="1"/>
  <c r="A291" i="1"/>
  <c r="I290" i="1"/>
  <c r="G290" i="1"/>
  <c r="E290" i="1"/>
  <c r="D290" i="1"/>
  <c r="C290" i="1"/>
  <c r="A290" i="1"/>
  <c r="I289" i="1"/>
  <c r="G289" i="1"/>
  <c r="E289" i="1"/>
  <c r="D289" i="1"/>
  <c r="C289" i="1"/>
  <c r="A289" i="1"/>
  <c r="I288" i="1"/>
  <c r="G288" i="1"/>
  <c r="E288" i="1"/>
  <c r="D288" i="1"/>
  <c r="C288" i="1"/>
  <c r="A288" i="1"/>
  <c r="I287" i="1"/>
  <c r="G287" i="1"/>
  <c r="E287" i="1"/>
  <c r="D287" i="1"/>
  <c r="C287" i="1"/>
  <c r="A287" i="1"/>
  <c r="I286" i="1"/>
  <c r="G286" i="1"/>
  <c r="E286" i="1"/>
  <c r="D286" i="1"/>
  <c r="C286" i="1"/>
  <c r="A286" i="1"/>
  <c r="I285" i="1"/>
  <c r="G285" i="1"/>
  <c r="E285" i="1"/>
  <c r="D285" i="1"/>
  <c r="C285" i="1"/>
  <c r="A285" i="1"/>
  <c r="I284" i="1"/>
  <c r="G284" i="1"/>
  <c r="E284" i="1"/>
  <c r="D284" i="1"/>
  <c r="C284" i="1"/>
  <c r="A284" i="1"/>
  <c r="I283" i="1"/>
  <c r="G283" i="1"/>
  <c r="E283" i="1"/>
  <c r="D283" i="1"/>
  <c r="C283" i="1"/>
  <c r="A283" i="1"/>
  <c r="I282" i="1"/>
  <c r="G282" i="1"/>
  <c r="E282" i="1"/>
  <c r="D282" i="1"/>
  <c r="C282" i="1"/>
  <c r="A282" i="1"/>
  <c r="I281" i="1"/>
  <c r="G281" i="1"/>
  <c r="E281" i="1"/>
  <c r="D281" i="1"/>
  <c r="C281" i="1"/>
  <c r="A281" i="1"/>
  <c r="I280" i="1"/>
  <c r="G280" i="1"/>
  <c r="E280" i="1"/>
  <c r="D280" i="1"/>
  <c r="C280" i="1"/>
  <c r="A280" i="1"/>
  <c r="I279" i="1"/>
  <c r="G279" i="1"/>
  <c r="E279" i="1"/>
  <c r="D279" i="1"/>
  <c r="C279" i="1"/>
  <c r="A279" i="1"/>
  <c r="I278" i="1"/>
  <c r="G278" i="1"/>
  <c r="E278" i="1"/>
  <c r="D278" i="1"/>
  <c r="C278" i="1"/>
  <c r="A278" i="1"/>
  <c r="I277" i="1"/>
  <c r="G277" i="1"/>
  <c r="E277" i="1"/>
  <c r="D277" i="1"/>
  <c r="C277" i="1"/>
  <c r="A277" i="1"/>
  <c r="I276" i="1"/>
  <c r="G276" i="1"/>
  <c r="E276" i="1"/>
  <c r="D276" i="1"/>
  <c r="C276" i="1"/>
  <c r="A276" i="1"/>
  <c r="I275" i="1"/>
  <c r="G275" i="1"/>
  <c r="E275" i="1"/>
  <c r="D275" i="1"/>
  <c r="C275" i="1"/>
  <c r="A275" i="1"/>
  <c r="I274" i="1"/>
  <c r="G274" i="1"/>
  <c r="E274" i="1"/>
  <c r="D274" i="1"/>
  <c r="C274" i="1"/>
  <c r="A274" i="1"/>
  <c r="I273" i="1"/>
  <c r="G273" i="1"/>
  <c r="E273" i="1"/>
  <c r="D273" i="1"/>
  <c r="C273" i="1"/>
  <c r="A273" i="1"/>
  <c r="I272" i="1"/>
  <c r="G272" i="1"/>
  <c r="E272" i="1"/>
  <c r="D272" i="1"/>
  <c r="C272" i="1"/>
  <c r="A272" i="1"/>
  <c r="I271" i="1"/>
  <c r="G271" i="1"/>
  <c r="E271" i="1"/>
  <c r="D271" i="1"/>
  <c r="C271" i="1"/>
  <c r="A271" i="1"/>
  <c r="I270" i="1"/>
  <c r="G270" i="1"/>
  <c r="E270" i="1"/>
  <c r="D270" i="1"/>
  <c r="C270" i="1"/>
  <c r="A270" i="1"/>
  <c r="I269" i="1"/>
  <c r="G269" i="1"/>
  <c r="E269" i="1"/>
  <c r="D269" i="1"/>
  <c r="C269" i="1"/>
  <c r="A269" i="1"/>
  <c r="I268" i="1"/>
  <c r="G268" i="1"/>
  <c r="E268" i="1"/>
  <c r="D268" i="1"/>
  <c r="C268" i="1"/>
  <c r="A268" i="1"/>
  <c r="I267" i="1"/>
  <c r="G267" i="1"/>
  <c r="E267" i="1"/>
  <c r="D267" i="1"/>
  <c r="C267" i="1"/>
  <c r="A267" i="1"/>
  <c r="I266" i="1"/>
  <c r="G266" i="1"/>
  <c r="E266" i="1"/>
  <c r="D266" i="1"/>
  <c r="C266" i="1"/>
  <c r="A266" i="1"/>
  <c r="I265" i="1"/>
  <c r="G265" i="1"/>
  <c r="E265" i="1"/>
  <c r="D265" i="1"/>
  <c r="C265" i="1"/>
  <c r="A265" i="1"/>
  <c r="I264" i="1"/>
  <c r="G264" i="1"/>
  <c r="E264" i="1"/>
  <c r="D264" i="1"/>
  <c r="C264" i="1"/>
  <c r="A264" i="1"/>
  <c r="I263" i="1"/>
  <c r="G263" i="1"/>
  <c r="E263" i="1"/>
  <c r="D263" i="1"/>
  <c r="C263" i="1"/>
  <c r="A263" i="1"/>
  <c r="I262" i="1"/>
  <c r="G262" i="1"/>
  <c r="E262" i="1"/>
  <c r="D262" i="1"/>
  <c r="C262" i="1"/>
  <c r="A262" i="1"/>
  <c r="I261" i="1"/>
  <c r="G261" i="1"/>
  <c r="E261" i="1"/>
  <c r="D261" i="1"/>
  <c r="C261" i="1"/>
  <c r="A261" i="1"/>
  <c r="I260" i="1"/>
  <c r="G260" i="1"/>
  <c r="E260" i="1"/>
  <c r="D260" i="1"/>
  <c r="C260" i="1"/>
  <c r="A260" i="1"/>
  <c r="I259" i="1"/>
  <c r="G259" i="1"/>
  <c r="E259" i="1"/>
  <c r="D259" i="1"/>
  <c r="C259" i="1"/>
  <c r="A259" i="1"/>
  <c r="I258" i="1"/>
  <c r="G258" i="1"/>
  <c r="E258" i="1"/>
  <c r="D258" i="1"/>
  <c r="C258" i="1"/>
  <c r="A258" i="1"/>
  <c r="I257" i="1"/>
  <c r="G257" i="1"/>
  <c r="E257" i="1"/>
  <c r="D257" i="1"/>
  <c r="C257" i="1"/>
  <c r="A257" i="1"/>
  <c r="I256" i="1"/>
  <c r="G256" i="1"/>
  <c r="E256" i="1"/>
  <c r="D256" i="1"/>
  <c r="C256" i="1"/>
  <c r="A256" i="1"/>
  <c r="I255" i="1"/>
  <c r="G255" i="1"/>
  <c r="E255" i="1"/>
  <c r="D255" i="1"/>
  <c r="C255" i="1"/>
  <c r="A255" i="1"/>
  <c r="I254" i="1"/>
  <c r="G254" i="1"/>
  <c r="E254" i="1"/>
  <c r="D254" i="1"/>
  <c r="C254" i="1"/>
  <c r="A254" i="1"/>
  <c r="I253" i="1"/>
  <c r="G253" i="1"/>
  <c r="E253" i="1"/>
  <c r="D253" i="1"/>
  <c r="C253" i="1"/>
  <c r="A253" i="1"/>
  <c r="I252" i="1"/>
  <c r="G252" i="1"/>
  <c r="E252" i="1"/>
  <c r="D252" i="1"/>
  <c r="C252" i="1"/>
  <c r="A252" i="1"/>
  <c r="I251" i="1"/>
  <c r="G251" i="1"/>
  <c r="E251" i="1"/>
  <c r="D251" i="1"/>
  <c r="C251" i="1"/>
  <c r="A251" i="1"/>
  <c r="I250" i="1"/>
  <c r="G250" i="1"/>
  <c r="E250" i="1"/>
  <c r="D250" i="1"/>
  <c r="C250" i="1"/>
  <c r="A250" i="1"/>
  <c r="I249" i="1"/>
  <c r="G249" i="1"/>
  <c r="E249" i="1"/>
  <c r="D249" i="1"/>
  <c r="C249" i="1"/>
  <c r="A249" i="1"/>
  <c r="I248" i="1"/>
  <c r="G248" i="1"/>
  <c r="E248" i="1"/>
  <c r="D248" i="1"/>
  <c r="C248" i="1"/>
  <c r="A248" i="1"/>
  <c r="I247" i="1"/>
  <c r="G247" i="1"/>
  <c r="E247" i="1"/>
  <c r="D247" i="1"/>
  <c r="C247" i="1"/>
  <c r="A247" i="1"/>
  <c r="I246" i="1"/>
  <c r="G246" i="1"/>
  <c r="E246" i="1"/>
  <c r="D246" i="1"/>
  <c r="C246" i="1"/>
  <c r="A246" i="1"/>
  <c r="I245" i="1"/>
  <c r="G245" i="1"/>
  <c r="E245" i="1"/>
  <c r="D245" i="1"/>
  <c r="C245" i="1"/>
  <c r="A245" i="1"/>
  <c r="I244" i="1"/>
  <c r="G244" i="1"/>
  <c r="E244" i="1"/>
  <c r="D244" i="1"/>
  <c r="C244" i="1"/>
  <c r="A244" i="1"/>
  <c r="I243" i="1"/>
  <c r="G243" i="1"/>
  <c r="E243" i="1"/>
  <c r="D243" i="1"/>
  <c r="C243" i="1"/>
  <c r="A243" i="1"/>
  <c r="I242" i="1"/>
  <c r="G242" i="1"/>
  <c r="E242" i="1"/>
  <c r="D242" i="1"/>
  <c r="C242" i="1"/>
  <c r="A242" i="1"/>
  <c r="I241" i="1"/>
  <c r="G241" i="1"/>
  <c r="E241" i="1"/>
  <c r="D241" i="1"/>
  <c r="C241" i="1"/>
  <c r="A241" i="1"/>
  <c r="I240" i="1"/>
  <c r="G240" i="1"/>
  <c r="E240" i="1"/>
  <c r="D240" i="1"/>
  <c r="C240" i="1"/>
  <c r="A240" i="1"/>
  <c r="I239" i="1"/>
  <c r="G239" i="1"/>
  <c r="E239" i="1"/>
  <c r="D239" i="1"/>
  <c r="C239" i="1"/>
  <c r="A239" i="1"/>
  <c r="I238" i="1"/>
  <c r="G238" i="1"/>
  <c r="E238" i="1"/>
  <c r="D238" i="1"/>
  <c r="C238" i="1"/>
  <c r="A238" i="1"/>
  <c r="I237" i="1"/>
  <c r="G237" i="1"/>
  <c r="E237" i="1"/>
  <c r="D237" i="1"/>
  <c r="C237" i="1"/>
  <c r="A237" i="1"/>
  <c r="I236" i="1"/>
  <c r="G236" i="1"/>
  <c r="E236" i="1"/>
  <c r="D236" i="1"/>
  <c r="C236" i="1"/>
  <c r="A236" i="1"/>
  <c r="I235" i="1"/>
  <c r="G235" i="1"/>
  <c r="E235" i="1"/>
  <c r="D235" i="1"/>
  <c r="C235" i="1"/>
  <c r="A235" i="1"/>
  <c r="I234" i="1"/>
  <c r="G234" i="1"/>
  <c r="E234" i="1"/>
  <c r="D234" i="1"/>
  <c r="C234" i="1"/>
  <c r="A234" i="1"/>
  <c r="I233" i="1"/>
  <c r="G233" i="1"/>
  <c r="E233" i="1"/>
  <c r="D233" i="1"/>
  <c r="C233" i="1"/>
  <c r="A233" i="1"/>
  <c r="I232" i="1"/>
  <c r="G232" i="1"/>
  <c r="E232" i="1"/>
  <c r="D232" i="1"/>
  <c r="C232" i="1"/>
  <c r="A232" i="1"/>
  <c r="I231" i="1"/>
  <c r="G231" i="1"/>
  <c r="E231" i="1"/>
  <c r="D231" i="1"/>
  <c r="C231" i="1"/>
  <c r="A231" i="1"/>
  <c r="I230" i="1"/>
  <c r="G230" i="1"/>
  <c r="E230" i="1"/>
  <c r="D230" i="1"/>
  <c r="C230" i="1"/>
  <c r="A230" i="1"/>
  <c r="I229" i="1"/>
  <c r="G229" i="1"/>
  <c r="E229" i="1"/>
  <c r="D229" i="1"/>
  <c r="C229" i="1"/>
  <c r="A229" i="1"/>
  <c r="I228" i="1"/>
  <c r="G228" i="1"/>
  <c r="E228" i="1"/>
  <c r="D228" i="1"/>
  <c r="C228" i="1"/>
  <c r="A228" i="1"/>
  <c r="I227" i="1"/>
  <c r="G227" i="1"/>
  <c r="E227" i="1"/>
  <c r="D227" i="1"/>
  <c r="C227" i="1"/>
  <c r="A227" i="1"/>
  <c r="I226" i="1"/>
  <c r="G226" i="1"/>
  <c r="E226" i="1"/>
  <c r="D226" i="1"/>
  <c r="C226" i="1"/>
  <c r="A226" i="1"/>
  <c r="I225" i="1"/>
  <c r="G225" i="1"/>
  <c r="E225" i="1"/>
  <c r="D225" i="1"/>
  <c r="C225" i="1"/>
  <c r="A225" i="1"/>
  <c r="I224" i="1"/>
  <c r="G224" i="1"/>
  <c r="E224" i="1"/>
  <c r="D224" i="1"/>
  <c r="C224" i="1"/>
  <c r="A224" i="1"/>
  <c r="I223" i="1"/>
  <c r="G223" i="1"/>
  <c r="E223" i="1"/>
  <c r="D223" i="1"/>
  <c r="C223" i="1"/>
  <c r="A223" i="1"/>
  <c r="I222" i="1"/>
  <c r="G222" i="1"/>
  <c r="E222" i="1"/>
  <c r="D222" i="1"/>
  <c r="C222" i="1"/>
  <c r="A222" i="1"/>
  <c r="I221" i="1"/>
  <c r="G221" i="1"/>
  <c r="E221" i="1"/>
  <c r="D221" i="1"/>
  <c r="C221" i="1"/>
  <c r="A221" i="1"/>
  <c r="I220" i="1"/>
  <c r="G220" i="1"/>
  <c r="E220" i="1"/>
  <c r="D220" i="1"/>
  <c r="C220" i="1"/>
  <c r="A220" i="1"/>
  <c r="I219" i="1"/>
  <c r="G219" i="1"/>
  <c r="E219" i="1"/>
  <c r="D219" i="1"/>
  <c r="C219" i="1"/>
  <c r="A219" i="1"/>
  <c r="I218" i="1"/>
  <c r="G218" i="1"/>
  <c r="E218" i="1"/>
  <c r="D218" i="1"/>
  <c r="C218" i="1"/>
  <c r="A218" i="1"/>
  <c r="I217" i="1"/>
  <c r="G217" i="1"/>
  <c r="E217" i="1"/>
  <c r="D217" i="1"/>
  <c r="C217" i="1"/>
  <c r="A217" i="1"/>
  <c r="I216" i="1"/>
  <c r="G216" i="1"/>
  <c r="E216" i="1"/>
  <c r="D216" i="1"/>
  <c r="C216" i="1"/>
  <c r="A216" i="1"/>
  <c r="I215" i="1"/>
  <c r="G215" i="1"/>
  <c r="E215" i="1"/>
  <c r="D215" i="1"/>
  <c r="C215" i="1"/>
  <c r="A215" i="1"/>
  <c r="I214" i="1"/>
  <c r="G214" i="1"/>
  <c r="E214" i="1"/>
  <c r="D214" i="1"/>
  <c r="C214" i="1"/>
  <c r="A214" i="1"/>
  <c r="I213" i="1"/>
  <c r="G213" i="1"/>
  <c r="E213" i="1"/>
  <c r="D213" i="1"/>
  <c r="C213" i="1"/>
  <c r="A213" i="1"/>
  <c r="I212" i="1"/>
  <c r="G212" i="1"/>
  <c r="E212" i="1"/>
  <c r="D212" i="1"/>
  <c r="C212" i="1"/>
  <c r="A212" i="1"/>
  <c r="I211" i="1"/>
  <c r="G211" i="1"/>
  <c r="E211" i="1"/>
  <c r="D211" i="1"/>
  <c r="C211" i="1"/>
  <c r="A211" i="1"/>
  <c r="I210" i="1"/>
  <c r="G210" i="1"/>
  <c r="E210" i="1"/>
  <c r="D210" i="1"/>
  <c r="C210" i="1"/>
  <c r="A210" i="1"/>
  <c r="I209" i="1"/>
  <c r="G209" i="1"/>
  <c r="E209" i="1"/>
  <c r="D209" i="1"/>
  <c r="C209" i="1"/>
  <c r="A209" i="1"/>
  <c r="I208" i="1"/>
  <c r="G208" i="1"/>
  <c r="E208" i="1"/>
  <c r="D208" i="1"/>
  <c r="C208" i="1"/>
  <c r="A208" i="1"/>
  <c r="I207" i="1"/>
  <c r="G207" i="1"/>
  <c r="E207" i="1"/>
  <c r="D207" i="1"/>
  <c r="C207" i="1"/>
  <c r="A207" i="1"/>
  <c r="I206" i="1"/>
  <c r="G206" i="1"/>
  <c r="E206" i="1"/>
  <c r="D206" i="1"/>
  <c r="C206" i="1"/>
  <c r="A206" i="1"/>
  <c r="I205" i="1"/>
  <c r="G205" i="1"/>
  <c r="E205" i="1"/>
  <c r="D205" i="1"/>
  <c r="C205" i="1"/>
  <c r="A205" i="1"/>
  <c r="I204" i="1"/>
  <c r="G204" i="1"/>
  <c r="E204" i="1"/>
  <c r="D204" i="1"/>
  <c r="C204" i="1"/>
  <c r="A204" i="1"/>
  <c r="I203" i="1"/>
  <c r="G203" i="1"/>
  <c r="E203" i="1"/>
  <c r="D203" i="1"/>
  <c r="C203" i="1"/>
  <c r="A203" i="1"/>
  <c r="I202" i="1"/>
  <c r="G202" i="1"/>
  <c r="E202" i="1"/>
  <c r="D202" i="1"/>
  <c r="C202" i="1"/>
  <c r="A202" i="1"/>
  <c r="I201" i="1"/>
  <c r="G201" i="1"/>
  <c r="E201" i="1"/>
  <c r="D201" i="1"/>
  <c r="C201" i="1"/>
  <c r="A201" i="1"/>
  <c r="I200" i="1"/>
  <c r="G200" i="1"/>
  <c r="E200" i="1"/>
  <c r="D200" i="1"/>
  <c r="C200" i="1"/>
  <c r="A200" i="1"/>
  <c r="I199" i="1"/>
  <c r="G199" i="1"/>
  <c r="E199" i="1"/>
  <c r="D199" i="1"/>
  <c r="C199" i="1"/>
  <c r="A199" i="1"/>
  <c r="I198" i="1"/>
  <c r="G198" i="1"/>
  <c r="E198" i="1"/>
  <c r="D198" i="1"/>
  <c r="C198" i="1"/>
  <c r="A198" i="1"/>
  <c r="I197" i="1"/>
  <c r="G197" i="1"/>
  <c r="E197" i="1"/>
  <c r="D197" i="1"/>
  <c r="C197" i="1"/>
  <c r="A197" i="1"/>
  <c r="I196" i="1"/>
  <c r="G196" i="1"/>
  <c r="E196" i="1"/>
  <c r="D196" i="1"/>
  <c r="C196" i="1"/>
  <c r="A196" i="1"/>
  <c r="I195" i="1"/>
  <c r="G195" i="1"/>
  <c r="E195" i="1"/>
  <c r="D195" i="1"/>
  <c r="C195" i="1"/>
  <c r="A195" i="1"/>
  <c r="I194" i="1"/>
  <c r="G194" i="1"/>
  <c r="E194" i="1"/>
  <c r="D194" i="1"/>
  <c r="C194" i="1"/>
  <c r="A194" i="1"/>
  <c r="I193" i="1"/>
  <c r="G193" i="1"/>
  <c r="E193" i="1"/>
  <c r="D193" i="1"/>
  <c r="C193" i="1"/>
  <c r="A193" i="1"/>
  <c r="I192" i="1"/>
  <c r="G192" i="1"/>
  <c r="E192" i="1"/>
  <c r="D192" i="1"/>
  <c r="C192" i="1"/>
  <c r="A192" i="1"/>
  <c r="I191" i="1"/>
  <c r="G191" i="1"/>
  <c r="E191" i="1"/>
  <c r="D191" i="1"/>
  <c r="C191" i="1"/>
  <c r="A191" i="1"/>
  <c r="I190" i="1"/>
  <c r="G190" i="1"/>
  <c r="E190" i="1"/>
  <c r="D190" i="1"/>
  <c r="C190" i="1"/>
  <c r="A190" i="1"/>
  <c r="I189" i="1"/>
  <c r="G189" i="1"/>
  <c r="E189" i="1"/>
  <c r="D189" i="1"/>
  <c r="C189" i="1"/>
  <c r="A189" i="1"/>
  <c r="I188" i="1"/>
  <c r="G188" i="1"/>
  <c r="E188" i="1"/>
  <c r="D188" i="1"/>
  <c r="C188" i="1"/>
  <c r="A188" i="1"/>
  <c r="I187" i="1"/>
  <c r="G187" i="1"/>
  <c r="E187" i="1"/>
  <c r="D187" i="1"/>
  <c r="C187" i="1"/>
  <c r="A187" i="1"/>
  <c r="I186" i="1"/>
  <c r="G186" i="1"/>
  <c r="E186" i="1"/>
  <c r="D186" i="1"/>
  <c r="C186" i="1"/>
  <c r="A186" i="1"/>
  <c r="I185" i="1"/>
  <c r="G185" i="1"/>
  <c r="E185" i="1"/>
  <c r="D185" i="1"/>
  <c r="C185" i="1"/>
  <c r="A185" i="1"/>
  <c r="I184" i="1"/>
  <c r="G184" i="1"/>
  <c r="E184" i="1"/>
  <c r="D184" i="1"/>
  <c r="C184" i="1"/>
  <c r="A184" i="1"/>
  <c r="I183" i="1"/>
  <c r="G183" i="1"/>
  <c r="E183" i="1"/>
  <c r="D183" i="1"/>
  <c r="C183" i="1"/>
  <c r="A183" i="1"/>
  <c r="I182" i="1"/>
  <c r="G182" i="1"/>
  <c r="E182" i="1"/>
  <c r="D182" i="1"/>
  <c r="C182" i="1"/>
  <c r="A182" i="1"/>
  <c r="I181" i="1"/>
  <c r="G181" i="1"/>
  <c r="E181" i="1"/>
  <c r="D181" i="1"/>
  <c r="C181" i="1"/>
  <c r="A181" i="1"/>
  <c r="I180" i="1"/>
  <c r="G180" i="1"/>
  <c r="E180" i="1"/>
  <c r="D180" i="1"/>
  <c r="C180" i="1"/>
  <c r="A180" i="1"/>
  <c r="I179" i="1"/>
  <c r="G179" i="1"/>
  <c r="E179" i="1"/>
  <c r="D179" i="1"/>
  <c r="C179" i="1"/>
  <c r="A179" i="1"/>
  <c r="I178" i="1"/>
  <c r="G178" i="1"/>
  <c r="E178" i="1"/>
  <c r="D178" i="1"/>
  <c r="C178" i="1"/>
  <c r="A178" i="1"/>
  <c r="I177" i="1"/>
  <c r="G177" i="1"/>
  <c r="E177" i="1"/>
  <c r="D177" i="1"/>
  <c r="C177" i="1"/>
  <c r="A177" i="1"/>
  <c r="I176" i="1"/>
  <c r="G176" i="1"/>
  <c r="E176" i="1"/>
  <c r="D176" i="1"/>
  <c r="C176" i="1"/>
  <c r="A176" i="1"/>
  <c r="I175" i="1"/>
  <c r="G175" i="1"/>
  <c r="E175" i="1"/>
  <c r="D175" i="1"/>
  <c r="C175" i="1"/>
  <c r="A175" i="1"/>
  <c r="I174" i="1"/>
  <c r="G174" i="1"/>
  <c r="E174" i="1"/>
  <c r="D174" i="1"/>
  <c r="C174" i="1"/>
  <c r="A174" i="1"/>
  <c r="I173" i="1"/>
  <c r="G173" i="1"/>
  <c r="E173" i="1"/>
  <c r="D173" i="1"/>
  <c r="C173" i="1"/>
  <c r="A173" i="1"/>
  <c r="I172" i="1"/>
  <c r="G172" i="1"/>
  <c r="E172" i="1"/>
  <c r="D172" i="1"/>
  <c r="C172" i="1"/>
  <c r="A172" i="1"/>
  <c r="I171" i="1"/>
  <c r="G171" i="1"/>
  <c r="E171" i="1"/>
  <c r="D171" i="1"/>
  <c r="C171" i="1"/>
  <c r="A171" i="1"/>
  <c r="I170" i="1"/>
  <c r="G170" i="1"/>
  <c r="E170" i="1"/>
  <c r="D170" i="1"/>
  <c r="C170" i="1"/>
  <c r="A170" i="1"/>
  <c r="I169" i="1"/>
  <c r="G169" i="1"/>
  <c r="E169" i="1"/>
  <c r="D169" i="1"/>
  <c r="C169" i="1"/>
  <c r="A169" i="1"/>
  <c r="I168" i="1"/>
  <c r="G168" i="1"/>
  <c r="E168" i="1"/>
  <c r="D168" i="1"/>
  <c r="C168" i="1"/>
  <c r="A168" i="1"/>
  <c r="I167" i="1"/>
  <c r="G167" i="1"/>
  <c r="E167" i="1"/>
  <c r="D167" i="1"/>
  <c r="C167" i="1"/>
  <c r="A167" i="1"/>
  <c r="I166" i="1"/>
  <c r="G166" i="1"/>
  <c r="E166" i="1"/>
  <c r="D166" i="1"/>
  <c r="C166" i="1"/>
  <c r="A166" i="1"/>
  <c r="I165" i="1"/>
  <c r="G165" i="1"/>
  <c r="E165" i="1"/>
  <c r="D165" i="1"/>
  <c r="C165" i="1"/>
  <c r="A165" i="1"/>
  <c r="I164" i="1"/>
  <c r="G164" i="1"/>
  <c r="E164" i="1"/>
  <c r="D164" i="1"/>
  <c r="C164" i="1"/>
  <c r="A164" i="1"/>
  <c r="I163" i="1"/>
  <c r="G163" i="1"/>
  <c r="E163" i="1"/>
  <c r="D163" i="1"/>
  <c r="C163" i="1"/>
  <c r="A163" i="1"/>
  <c r="I162" i="1"/>
  <c r="G162" i="1"/>
  <c r="E162" i="1"/>
  <c r="D162" i="1"/>
  <c r="C162" i="1"/>
  <c r="A162" i="1"/>
  <c r="I161" i="1"/>
  <c r="G161" i="1"/>
  <c r="E161" i="1"/>
  <c r="D161" i="1"/>
  <c r="C161" i="1"/>
  <c r="A161" i="1"/>
  <c r="I160" i="1"/>
  <c r="G160" i="1"/>
  <c r="E160" i="1"/>
  <c r="D160" i="1"/>
  <c r="C160" i="1"/>
  <c r="A160" i="1"/>
  <c r="I159" i="1"/>
  <c r="G159" i="1"/>
  <c r="E159" i="1"/>
  <c r="D159" i="1"/>
  <c r="C159" i="1"/>
  <c r="A159" i="1"/>
  <c r="I158" i="1"/>
  <c r="G158" i="1"/>
  <c r="E158" i="1"/>
  <c r="D158" i="1"/>
  <c r="C158" i="1"/>
  <c r="A158" i="1"/>
  <c r="I157" i="1"/>
  <c r="G157" i="1"/>
  <c r="E157" i="1"/>
  <c r="D157" i="1"/>
  <c r="C157" i="1"/>
  <c r="A157" i="1"/>
  <c r="I156" i="1"/>
  <c r="G156" i="1"/>
  <c r="E156" i="1"/>
  <c r="D156" i="1"/>
  <c r="C156" i="1"/>
  <c r="A156" i="1"/>
  <c r="I155" i="1"/>
  <c r="G155" i="1"/>
  <c r="E155" i="1"/>
  <c r="D155" i="1"/>
  <c r="C155" i="1"/>
  <c r="A155" i="1"/>
  <c r="I154" i="1"/>
  <c r="G154" i="1"/>
  <c r="E154" i="1"/>
  <c r="D154" i="1"/>
  <c r="C154" i="1"/>
  <c r="A154" i="1"/>
  <c r="I153" i="1"/>
  <c r="G153" i="1"/>
  <c r="E153" i="1"/>
  <c r="D153" i="1"/>
  <c r="C153" i="1"/>
  <c r="A153" i="1"/>
  <c r="I152" i="1"/>
  <c r="G152" i="1"/>
  <c r="E152" i="1"/>
  <c r="D152" i="1"/>
  <c r="C152" i="1"/>
  <c r="A152" i="1"/>
  <c r="I151" i="1"/>
  <c r="G151" i="1"/>
  <c r="E151" i="1"/>
  <c r="D151" i="1"/>
  <c r="C151" i="1"/>
  <c r="A151" i="1"/>
  <c r="I150" i="1"/>
  <c r="G150" i="1"/>
  <c r="E150" i="1"/>
  <c r="D150" i="1"/>
  <c r="C150" i="1"/>
  <c r="A150" i="1"/>
  <c r="I149" i="1"/>
  <c r="G149" i="1"/>
  <c r="E149" i="1"/>
  <c r="D149" i="1"/>
  <c r="C149" i="1"/>
  <c r="A149" i="1"/>
  <c r="I148" i="1"/>
  <c r="G148" i="1"/>
  <c r="E148" i="1"/>
  <c r="D148" i="1"/>
  <c r="C148" i="1"/>
  <c r="A148" i="1"/>
  <c r="I147" i="1"/>
  <c r="G147" i="1"/>
  <c r="E147" i="1"/>
  <c r="D147" i="1"/>
  <c r="C147" i="1"/>
  <c r="A147" i="1"/>
  <c r="I146" i="1"/>
  <c r="G146" i="1"/>
  <c r="E146" i="1"/>
  <c r="D146" i="1"/>
  <c r="C146" i="1"/>
  <c r="A146" i="1"/>
  <c r="I145" i="1"/>
  <c r="G145" i="1"/>
  <c r="E145" i="1"/>
  <c r="D145" i="1"/>
  <c r="C145" i="1"/>
  <c r="A145" i="1"/>
  <c r="I144" i="1"/>
  <c r="G144" i="1"/>
  <c r="E144" i="1"/>
  <c r="D144" i="1"/>
  <c r="C144" i="1"/>
  <c r="A144" i="1"/>
  <c r="I143" i="1"/>
  <c r="G143" i="1"/>
  <c r="E143" i="1"/>
  <c r="D143" i="1"/>
  <c r="C143" i="1"/>
  <c r="A143" i="1"/>
  <c r="I142" i="1"/>
  <c r="G142" i="1"/>
  <c r="E142" i="1"/>
  <c r="D142" i="1"/>
  <c r="C142" i="1"/>
  <c r="A142" i="1"/>
  <c r="I141" i="1"/>
  <c r="G141" i="1"/>
  <c r="E141" i="1"/>
  <c r="D141" i="1"/>
  <c r="C141" i="1"/>
  <c r="A141" i="1"/>
  <c r="I140" i="1"/>
  <c r="G140" i="1"/>
  <c r="E140" i="1"/>
  <c r="D140" i="1"/>
  <c r="C140" i="1"/>
  <c r="A140" i="1"/>
  <c r="I139" i="1"/>
  <c r="G139" i="1"/>
  <c r="E139" i="1"/>
  <c r="D139" i="1"/>
  <c r="C139" i="1"/>
  <c r="A139" i="1"/>
  <c r="I138" i="1"/>
  <c r="G138" i="1"/>
  <c r="E138" i="1"/>
  <c r="D138" i="1"/>
  <c r="C138" i="1"/>
  <c r="A138" i="1"/>
  <c r="I137" i="1"/>
  <c r="G137" i="1"/>
  <c r="E137" i="1"/>
  <c r="D137" i="1"/>
  <c r="C137" i="1"/>
  <c r="A137" i="1"/>
  <c r="I136" i="1"/>
  <c r="G136" i="1"/>
  <c r="E136" i="1"/>
  <c r="D136" i="1"/>
  <c r="C136" i="1"/>
  <c r="A136" i="1"/>
  <c r="I135" i="1"/>
  <c r="G135" i="1"/>
  <c r="E135" i="1"/>
  <c r="D135" i="1"/>
  <c r="C135" i="1"/>
  <c r="A135" i="1"/>
  <c r="I134" i="1"/>
  <c r="G134" i="1"/>
  <c r="E134" i="1"/>
  <c r="D134" i="1"/>
  <c r="C134" i="1"/>
  <c r="A134" i="1"/>
  <c r="I133" i="1"/>
  <c r="G133" i="1"/>
  <c r="E133" i="1"/>
  <c r="D133" i="1"/>
  <c r="C133" i="1"/>
  <c r="A133" i="1"/>
  <c r="I132" i="1"/>
  <c r="G132" i="1"/>
  <c r="E132" i="1"/>
  <c r="D132" i="1"/>
  <c r="C132" i="1"/>
  <c r="A132" i="1"/>
  <c r="I131" i="1"/>
  <c r="G131" i="1"/>
  <c r="E131" i="1"/>
  <c r="D131" i="1"/>
  <c r="C131" i="1"/>
  <c r="A131" i="1"/>
  <c r="I130" i="1"/>
  <c r="G130" i="1"/>
  <c r="E130" i="1"/>
  <c r="D130" i="1"/>
  <c r="C130" i="1"/>
  <c r="A130" i="1"/>
  <c r="I129" i="1"/>
  <c r="G129" i="1"/>
  <c r="E129" i="1"/>
  <c r="D129" i="1"/>
  <c r="C129" i="1"/>
  <c r="A129" i="1"/>
  <c r="I128" i="1"/>
  <c r="G128" i="1"/>
  <c r="E128" i="1"/>
  <c r="D128" i="1"/>
  <c r="C128" i="1"/>
  <c r="A128" i="1"/>
  <c r="I127" i="1"/>
  <c r="G127" i="1"/>
  <c r="E127" i="1"/>
  <c r="D127" i="1"/>
  <c r="C127" i="1"/>
  <c r="A127" i="1"/>
  <c r="I126" i="1"/>
  <c r="G126" i="1"/>
  <c r="E126" i="1"/>
  <c r="D126" i="1"/>
  <c r="C126" i="1"/>
  <c r="A126" i="1"/>
  <c r="I125" i="1"/>
  <c r="G125" i="1"/>
  <c r="E125" i="1"/>
  <c r="D125" i="1"/>
  <c r="C125" i="1"/>
  <c r="A125" i="1"/>
  <c r="I124" i="1"/>
  <c r="G124" i="1"/>
  <c r="E124" i="1"/>
  <c r="D124" i="1"/>
  <c r="C124" i="1"/>
  <c r="A124" i="1"/>
  <c r="I123" i="1"/>
  <c r="G123" i="1"/>
  <c r="E123" i="1"/>
  <c r="D123" i="1"/>
  <c r="C123" i="1"/>
  <c r="A123" i="1"/>
  <c r="I122" i="1"/>
  <c r="G122" i="1"/>
  <c r="E122" i="1"/>
  <c r="D122" i="1"/>
  <c r="C122" i="1"/>
  <c r="A122" i="1"/>
  <c r="I121" i="1"/>
  <c r="G121" i="1"/>
  <c r="E121" i="1"/>
  <c r="D121" i="1"/>
  <c r="C121" i="1"/>
  <c r="A121" i="1"/>
  <c r="I120" i="1"/>
  <c r="G120" i="1"/>
  <c r="E120" i="1"/>
  <c r="D120" i="1"/>
  <c r="C120" i="1"/>
  <c r="A120" i="1"/>
  <c r="I119" i="1"/>
  <c r="G119" i="1"/>
  <c r="E119" i="1"/>
  <c r="D119" i="1"/>
  <c r="C119" i="1"/>
  <c r="A119" i="1"/>
  <c r="I118" i="1"/>
  <c r="G118" i="1"/>
  <c r="E118" i="1"/>
  <c r="D118" i="1"/>
  <c r="C118" i="1"/>
  <c r="A118" i="1"/>
  <c r="I117" i="1"/>
  <c r="G117" i="1"/>
  <c r="E117" i="1"/>
  <c r="D117" i="1"/>
  <c r="C117" i="1"/>
  <c r="A117" i="1"/>
  <c r="I116" i="1"/>
  <c r="G116" i="1"/>
  <c r="E116" i="1"/>
  <c r="D116" i="1"/>
  <c r="C116" i="1"/>
  <c r="A116" i="1"/>
  <c r="I115" i="1"/>
  <c r="G115" i="1"/>
  <c r="E115" i="1"/>
  <c r="D115" i="1"/>
  <c r="C115" i="1"/>
  <c r="A115" i="1"/>
  <c r="I114" i="1"/>
  <c r="G114" i="1"/>
  <c r="E114" i="1"/>
  <c r="D114" i="1"/>
  <c r="C114" i="1"/>
  <c r="A114" i="1"/>
  <c r="I113" i="1"/>
  <c r="G113" i="1"/>
  <c r="E113" i="1"/>
  <c r="D113" i="1"/>
  <c r="C113" i="1"/>
  <c r="A113" i="1"/>
  <c r="I112" i="1"/>
  <c r="G112" i="1"/>
  <c r="E112" i="1"/>
  <c r="D112" i="1"/>
  <c r="C112" i="1"/>
  <c r="A112" i="1"/>
  <c r="I111" i="1"/>
  <c r="G111" i="1"/>
  <c r="E111" i="1"/>
  <c r="D111" i="1"/>
  <c r="C111" i="1"/>
  <c r="A111" i="1"/>
  <c r="I110" i="1"/>
  <c r="G110" i="1"/>
  <c r="E110" i="1"/>
  <c r="D110" i="1"/>
  <c r="C110" i="1"/>
  <c r="A110" i="1"/>
  <c r="I109" i="1"/>
  <c r="G109" i="1"/>
  <c r="E109" i="1"/>
  <c r="D109" i="1"/>
  <c r="C109" i="1"/>
  <c r="A109" i="1"/>
  <c r="I108" i="1"/>
  <c r="G108" i="1"/>
  <c r="E108" i="1"/>
  <c r="D108" i="1"/>
  <c r="C108" i="1"/>
  <c r="A108" i="1"/>
  <c r="I107" i="1"/>
  <c r="G107" i="1"/>
  <c r="E107" i="1"/>
  <c r="D107" i="1"/>
  <c r="C107" i="1"/>
  <c r="A107" i="1"/>
  <c r="I106" i="1"/>
  <c r="G106" i="1"/>
  <c r="E106" i="1"/>
  <c r="D106" i="1"/>
  <c r="C106" i="1"/>
  <c r="A106" i="1"/>
  <c r="I105" i="1"/>
  <c r="G105" i="1"/>
  <c r="E105" i="1"/>
  <c r="D105" i="1"/>
  <c r="C105" i="1"/>
  <c r="A105" i="1"/>
  <c r="I104" i="1"/>
  <c r="G104" i="1"/>
  <c r="E104" i="1"/>
  <c r="D104" i="1"/>
  <c r="C104" i="1"/>
  <c r="A104" i="1"/>
  <c r="I103" i="1"/>
  <c r="G103" i="1"/>
  <c r="E103" i="1"/>
  <c r="D103" i="1"/>
  <c r="C103" i="1"/>
  <c r="A103" i="1"/>
  <c r="I102" i="1"/>
  <c r="G102" i="1"/>
  <c r="E102" i="1"/>
  <c r="D102" i="1"/>
  <c r="C102" i="1"/>
  <c r="A102" i="1"/>
  <c r="I101" i="1"/>
  <c r="G101" i="1"/>
  <c r="E101" i="1"/>
  <c r="D101" i="1"/>
  <c r="C101" i="1"/>
  <c r="A101" i="1"/>
  <c r="I100" i="1"/>
  <c r="G100" i="1"/>
  <c r="E100" i="1"/>
  <c r="D100" i="1"/>
  <c r="C100" i="1"/>
  <c r="A100" i="1"/>
  <c r="I99" i="1"/>
  <c r="G99" i="1"/>
  <c r="E99" i="1"/>
  <c r="D99" i="1"/>
  <c r="C99" i="1"/>
  <c r="A99" i="1"/>
  <c r="I98" i="1"/>
  <c r="G98" i="1"/>
  <c r="E98" i="1"/>
  <c r="D98" i="1"/>
  <c r="C98" i="1"/>
  <c r="A98" i="1"/>
  <c r="I97" i="1"/>
  <c r="G97" i="1"/>
  <c r="E97" i="1"/>
  <c r="D97" i="1"/>
  <c r="C97" i="1"/>
  <c r="A97" i="1"/>
  <c r="I96" i="1"/>
  <c r="G96" i="1"/>
  <c r="E96" i="1"/>
  <c r="D96" i="1"/>
  <c r="C96" i="1"/>
  <c r="A96" i="1"/>
  <c r="I95" i="1"/>
  <c r="G95" i="1"/>
  <c r="E95" i="1"/>
  <c r="D95" i="1"/>
  <c r="C95" i="1"/>
  <c r="A95" i="1"/>
  <c r="I94" i="1"/>
  <c r="G94" i="1"/>
  <c r="E94" i="1"/>
  <c r="D94" i="1"/>
  <c r="C94" i="1"/>
  <c r="A94" i="1"/>
  <c r="I93" i="1"/>
  <c r="G93" i="1"/>
  <c r="E93" i="1"/>
  <c r="D93" i="1"/>
  <c r="C93" i="1"/>
  <c r="A93" i="1"/>
  <c r="I92" i="1"/>
  <c r="G92" i="1"/>
  <c r="E92" i="1"/>
  <c r="D92" i="1"/>
  <c r="C92" i="1"/>
  <c r="A92" i="1"/>
  <c r="I91" i="1"/>
  <c r="G91" i="1"/>
  <c r="E91" i="1"/>
  <c r="D91" i="1"/>
  <c r="C91" i="1"/>
  <c r="A91" i="1"/>
  <c r="I90" i="1"/>
  <c r="G90" i="1"/>
  <c r="E90" i="1"/>
  <c r="D90" i="1"/>
  <c r="C90" i="1"/>
  <c r="A90" i="1"/>
  <c r="I89" i="1"/>
  <c r="G89" i="1"/>
  <c r="E89" i="1"/>
  <c r="D89" i="1"/>
  <c r="C89" i="1"/>
  <c r="A89" i="1"/>
  <c r="I88" i="1"/>
  <c r="G88" i="1"/>
  <c r="E88" i="1"/>
  <c r="D88" i="1"/>
  <c r="C88" i="1"/>
  <c r="A88" i="1"/>
  <c r="I87" i="1"/>
  <c r="G87" i="1"/>
  <c r="E87" i="1"/>
  <c r="D87" i="1"/>
  <c r="C87" i="1"/>
  <c r="A87" i="1"/>
  <c r="I86" i="1"/>
  <c r="G86" i="1"/>
  <c r="E86" i="1"/>
  <c r="D86" i="1"/>
  <c r="C86" i="1"/>
  <c r="A86" i="1"/>
  <c r="I85" i="1"/>
  <c r="G85" i="1"/>
  <c r="E85" i="1"/>
  <c r="D85" i="1"/>
  <c r="C85" i="1"/>
  <c r="A85" i="1"/>
  <c r="I84" i="1"/>
  <c r="G84" i="1"/>
  <c r="E84" i="1"/>
  <c r="D84" i="1"/>
  <c r="C84" i="1"/>
  <c r="A84" i="1"/>
  <c r="I83" i="1"/>
  <c r="G83" i="1"/>
  <c r="E83" i="1"/>
  <c r="D83" i="1"/>
  <c r="C83" i="1"/>
  <c r="A83" i="1"/>
  <c r="I82" i="1"/>
  <c r="G82" i="1"/>
  <c r="E82" i="1"/>
  <c r="D82" i="1"/>
  <c r="C82" i="1"/>
  <c r="A82" i="1"/>
  <c r="I81" i="1"/>
  <c r="G81" i="1"/>
  <c r="E81" i="1"/>
  <c r="D81" i="1"/>
  <c r="C81" i="1"/>
  <c r="A81" i="1"/>
  <c r="I80" i="1"/>
  <c r="G80" i="1"/>
  <c r="E80" i="1"/>
  <c r="D80" i="1"/>
  <c r="C80" i="1"/>
  <c r="A80" i="1"/>
  <c r="I79" i="1"/>
  <c r="G79" i="1"/>
  <c r="E79" i="1"/>
  <c r="D79" i="1"/>
  <c r="C79" i="1"/>
  <c r="A79" i="1"/>
  <c r="I78" i="1"/>
  <c r="G78" i="1"/>
  <c r="E78" i="1"/>
  <c r="D78" i="1"/>
  <c r="C78" i="1"/>
  <c r="A78" i="1"/>
  <c r="I77" i="1"/>
  <c r="G77" i="1"/>
  <c r="E77" i="1"/>
  <c r="D77" i="1"/>
  <c r="C77" i="1"/>
  <c r="A77" i="1"/>
  <c r="I76" i="1"/>
  <c r="G76" i="1"/>
  <c r="E76" i="1"/>
  <c r="D76" i="1"/>
  <c r="C76" i="1"/>
  <c r="A76" i="1"/>
  <c r="I75" i="1"/>
  <c r="G75" i="1"/>
  <c r="E75" i="1"/>
  <c r="D75" i="1"/>
  <c r="C75" i="1"/>
  <c r="A75" i="1"/>
  <c r="I74" i="1"/>
  <c r="G74" i="1"/>
  <c r="E74" i="1"/>
  <c r="D74" i="1"/>
  <c r="C74" i="1"/>
  <c r="A74" i="1"/>
  <c r="I73" i="1"/>
  <c r="G73" i="1"/>
  <c r="E73" i="1"/>
  <c r="D73" i="1"/>
  <c r="C73" i="1"/>
  <c r="A73" i="1"/>
  <c r="I72" i="1"/>
  <c r="G72" i="1"/>
  <c r="E72" i="1"/>
  <c r="D72" i="1"/>
  <c r="C72" i="1"/>
  <c r="A72" i="1"/>
  <c r="I71" i="1"/>
  <c r="G71" i="1"/>
  <c r="E71" i="1"/>
  <c r="D71" i="1"/>
  <c r="C71" i="1"/>
  <c r="A71" i="1"/>
  <c r="I70" i="1"/>
  <c r="G70" i="1"/>
  <c r="E70" i="1"/>
  <c r="D70" i="1"/>
  <c r="C70" i="1"/>
  <c r="A70" i="1"/>
  <c r="I69" i="1"/>
  <c r="G69" i="1"/>
  <c r="E69" i="1"/>
  <c r="D69" i="1"/>
  <c r="C69" i="1"/>
  <c r="A69" i="1"/>
  <c r="I68" i="1"/>
  <c r="G68" i="1"/>
  <c r="E68" i="1"/>
  <c r="D68" i="1"/>
  <c r="C68" i="1"/>
  <c r="A68" i="1"/>
  <c r="I67" i="1"/>
  <c r="G67" i="1"/>
  <c r="E67" i="1"/>
  <c r="D67" i="1"/>
  <c r="C67" i="1"/>
  <c r="A67" i="1"/>
  <c r="I66" i="1"/>
  <c r="G66" i="1"/>
  <c r="E66" i="1"/>
  <c r="D66" i="1"/>
  <c r="C66" i="1"/>
  <c r="A66" i="1"/>
  <c r="I65" i="1"/>
  <c r="G65" i="1"/>
  <c r="E65" i="1"/>
  <c r="D65" i="1"/>
  <c r="C65" i="1"/>
  <c r="A65" i="1"/>
  <c r="I64" i="1"/>
  <c r="G64" i="1"/>
  <c r="E64" i="1"/>
  <c r="D64" i="1"/>
  <c r="C64" i="1"/>
  <c r="A64" i="1"/>
  <c r="I63" i="1"/>
  <c r="G63" i="1"/>
  <c r="E63" i="1"/>
  <c r="D63" i="1"/>
  <c r="C63" i="1"/>
  <c r="A63" i="1"/>
  <c r="I62" i="1"/>
  <c r="G62" i="1"/>
  <c r="E62" i="1"/>
  <c r="D62" i="1"/>
  <c r="C62" i="1"/>
  <c r="A62" i="1"/>
  <c r="I61" i="1"/>
  <c r="G61" i="1"/>
  <c r="E61" i="1"/>
  <c r="D61" i="1"/>
  <c r="C61" i="1"/>
  <c r="A61" i="1"/>
  <c r="I60" i="1"/>
  <c r="G60" i="1"/>
  <c r="E60" i="1"/>
  <c r="D60" i="1"/>
  <c r="C60" i="1"/>
  <c r="A60" i="1"/>
  <c r="I59" i="1"/>
  <c r="G59" i="1"/>
  <c r="E59" i="1"/>
  <c r="D59" i="1"/>
  <c r="C59" i="1"/>
  <c r="A59" i="1"/>
  <c r="I58" i="1"/>
  <c r="G58" i="1"/>
  <c r="E58" i="1"/>
  <c r="D58" i="1"/>
  <c r="C58" i="1"/>
  <c r="A58" i="1"/>
  <c r="I57" i="1"/>
  <c r="G57" i="1"/>
  <c r="E57" i="1"/>
  <c r="D57" i="1"/>
  <c r="C57" i="1"/>
  <c r="A57" i="1"/>
  <c r="I56" i="1"/>
  <c r="G56" i="1"/>
  <c r="E56" i="1"/>
  <c r="D56" i="1"/>
  <c r="C56" i="1"/>
  <c r="A56" i="1"/>
  <c r="I55" i="1"/>
  <c r="G55" i="1"/>
  <c r="E55" i="1"/>
  <c r="D55" i="1"/>
  <c r="C55" i="1"/>
  <c r="A55" i="1"/>
  <c r="I54" i="1"/>
  <c r="G54" i="1"/>
  <c r="E54" i="1"/>
  <c r="D54" i="1"/>
  <c r="C54" i="1"/>
  <c r="A54" i="1"/>
  <c r="I53" i="1"/>
  <c r="G53" i="1"/>
  <c r="E53" i="1"/>
  <c r="D53" i="1"/>
  <c r="C53" i="1"/>
  <c r="A53" i="1"/>
  <c r="I52" i="1"/>
  <c r="G52" i="1"/>
  <c r="E52" i="1"/>
  <c r="D52" i="1"/>
  <c r="C52" i="1"/>
  <c r="A52" i="1"/>
  <c r="I51" i="1"/>
  <c r="G51" i="1"/>
  <c r="E51" i="1"/>
  <c r="D51" i="1"/>
  <c r="C51" i="1"/>
  <c r="A51" i="1"/>
  <c r="I50" i="1"/>
  <c r="G50" i="1"/>
  <c r="E50" i="1"/>
  <c r="D50" i="1"/>
  <c r="C50" i="1"/>
  <c r="A50" i="1"/>
  <c r="I49" i="1"/>
  <c r="G49" i="1"/>
  <c r="E49" i="1"/>
  <c r="D49" i="1"/>
  <c r="C49" i="1"/>
  <c r="A49" i="1"/>
  <c r="I48" i="1"/>
  <c r="G48" i="1"/>
  <c r="E48" i="1"/>
  <c r="D48" i="1"/>
  <c r="C48" i="1"/>
  <c r="A48" i="1"/>
  <c r="I47" i="1"/>
  <c r="G47" i="1"/>
  <c r="E47" i="1"/>
  <c r="D47" i="1"/>
  <c r="C47" i="1"/>
  <c r="A47" i="1"/>
  <c r="I46" i="1"/>
  <c r="G46" i="1"/>
  <c r="E46" i="1"/>
  <c r="D46" i="1"/>
  <c r="C46" i="1"/>
  <c r="A46" i="1"/>
  <c r="I45" i="1"/>
  <c r="G45" i="1"/>
  <c r="E45" i="1"/>
  <c r="D45" i="1"/>
  <c r="C45" i="1"/>
  <c r="A45" i="1"/>
  <c r="I44" i="1"/>
  <c r="G44" i="1"/>
  <c r="E44" i="1"/>
  <c r="D44" i="1"/>
  <c r="C44" i="1"/>
  <c r="A44" i="1"/>
  <c r="I43" i="1"/>
  <c r="G43" i="1"/>
  <c r="E43" i="1"/>
  <c r="D43" i="1"/>
  <c r="C43" i="1"/>
  <c r="A43" i="1"/>
  <c r="I42" i="1"/>
  <c r="G42" i="1"/>
  <c r="E42" i="1"/>
  <c r="D42" i="1"/>
  <c r="C42" i="1"/>
  <c r="A42" i="1"/>
  <c r="I41" i="1"/>
  <c r="G41" i="1"/>
  <c r="E41" i="1"/>
  <c r="D41" i="1"/>
  <c r="C41" i="1"/>
  <c r="A41" i="1"/>
  <c r="I40" i="1"/>
  <c r="G40" i="1"/>
  <c r="E40" i="1"/>
  <c r="D40" i="1"/>
  <c r="C40" i="1"/>
  <c r="A40" i="1"/>
  <c r="I39" i="1"/>
  <c r="G39" i="1"/>
  <c r="E39" i="1"/>
  <c r="D39" i="1"/>
  <c r="C39" i="1"/>
  <c r="A39" i="1"/>
  <c r="I38" i="1"/>
  <c r="G38" i="1"/>
  <c r="E38" i="1"/>
  <c r="D38" i="1"/>
  <c r="C38" i="1"/>
  <c r="A38" i="1"/>
  <c r="I37" i="1"/>
  <c r="G37" i="1"/>
  <c r="E37" i="1"/>
  <c r="D37" i="1"/>
  <c r="C37" i="1"/>
  <c r="A37" i="1"/>
  <c r="I36" i="1"/>
  <c r="G36" i="1"/>
  <c r="E36" i="1"/>
  <c r="D36" i="1"/>
  <c r="C36" i="1"/>
  <c r="A36" i="1"/>
  <c r="I35" i="1"/>
  <c r="G35" i="1"/>
  <c r="E35" i="1"/>
  <c r="D35" i="1"/>
  <c r="C35" i="1"/>
  <c r="A35" i="1"/>
  <c r="I34" i="1"/>
  <c r="G34" i="1"/>
  <c r="E34" i="1"/>
  <c r="D34" i="1"/>
  <c r="C34" i="1"/>
  <c r="A34" i="1"/>
  <c r="I33" i="1"/>
  <c r="G33" i="1"/>
  <c r="E33" i="1"/>
  <c r="D33" i="1"/>
  <c r="C33" i="1"/>
  <c r="A33" i="1"/>
  <c r="I32" i="1"/>
  <c r="G32" i="1"/>
  <c r="E32" i="1"/>
  <c r="D32" i="1"/>
  <c r="C32" i="1"/>
  <c r="A32" i="1"/>
  <c r="I31" i="1"/>
  <c r="G31" i="1"/>
  <c r="E31" i="1"/>
  <c r="D31" i="1"/>
  <c r="C31" i="1"/>
  <c r="A31" i="1"/>
  <c r="I30" i="1"/>
  <c r="G30" i="1"/>
  <c r="E30" i="1"/>
  <c r="D30" i="1"/>
  <c r="C30" i="1"/>
  <c r="A30" i="1"/>
  <c r="I29" i="1"/>
  <c r="G29" i="1"/>
  <c r="E29" i="1"/>
  <c r="D29" i="1"/>
  <c r="C29" i="1"/>
  <c r="A29" i="1"/>
  <c r="I28" i="1"/>
  <c r="G28" i="1"/>
  <c r="E28" i="1"/>
  <c r="D28" i="1"/>
  <c r="C28" i="1"/>
  <c r="A28" i="1"/>
  <c r="I27" i="1"/>
  <c r="G27" i="1"/>
  <c r="E27" i="1"/>
  <c r="D27" i="1"/>
  <c r="C27" i="1"/>
  <c r="A27" i="1"/>
  <c r="I26" i="1"/>
  <c r="G26" i="1"/>
  <c r="E26" i="1"/>
  <c r="D26" i="1"/>
  <c r="C26" i="1"/>
  <c r="A26" i="1"/>
  <c r="I25" i="1"/>
  <c r="G25" i="1"/>
  <c r="E25" i="1"/>
  <c r="D25" i="1"/>
  <c r="C25" i="1"/>
  <c r="A25" i="1"/>
  <c r="I24" i="1"/>
  <c r="G24" i="1"/>
  <c r="E24" i="1"/>
  <c r="D24" i="1"/>
  <c r="C24" i="1"/>
  <c r="A24" i="1"/>
  <c r="I23" i="1"/>
  <c r="G23" i="1"/>
  <c r="E23" i="1"/>
  <c r="D23" i="1"/>
  <c r="C23" i="1"/>
  <c r="A23" i="1"/>
  <c r="I22" i="1"/>
  <c r="G22" i="1"/>
  <c r="E22" i="1"/>
  <c r="D22" i="1"/>
  <c r="C22" i="1"/>
  <c r="A22" i="1"/>
  <c r="I21" i="1"/>
  <c r="G21" i="1"/>
  <c r="E21" i="1"/>
  <c r="D21" i="1"/>
  <c r="C21" i="1"/>
  <c r="A21" i="1"/>
  <c r="I20" i="1"/>
  <c r="G20" i="1"/>
  <c r="E20" i="1"/>
  <c r="D20" i="1"/>
  <c r="C20" i="1"/>
  <c r="A20" i="1"/>
  <c r="I19" i="1"/>
  <c r="G19" i="1"/>
  <c r="E19" i="1"/>
  <c r="D19" i="1"/>
  <c r="C19" i="1"/>
  <c r="A19" i="1"/>
  <c r="I18" i="1"/>
  <c r="G18" i="1"/>
  <c r="E18" i="1"/>
  <c r="D18" i="1"/>
  <c r="C18" i="1"/>
  <c r="A18" i="1"/>
  <c r="I17" i="1"/>
  <c r="G17" i="1"/>
  <c r="E17" i="1"/>
  <c r="D17" i="1"/>
  <c r="C17" i="1"/>
  <c r="A17" i="1"/>
  <c r="I16" i="1"/>
  <c r="G16" i="1"/>
  <c r="E16" i="1"/>
  <c r="D16" i="1"/>
  <c r="C16" i="1"/>
  <c r="A16" i="1"/>
  <c r="I15" i="1"/>
  <c r="G15" i="1"/>
  <c r="E15" i="1"/>
  <c r="D15" i="1"/>
  <c r="C15" i="1"/>
  <c r="A15" i="1"/>
  <c r="I14" i="1"/>
  <c r="G14" i="1"/>
  <c r="E14" i="1"/>
  <c r="D14" i="1"/>
  <c r="C14" i="1"/>
  <c r="A14" i="1"/>
  <c r="I13" i="1"/>
  <c r="G13" i="1"/>
  <c r="E13" i="1"/>
  <c r="D13" i="1"/>
  <c r="C13" i="1"/>
  <c r="A13" i="1"/>
  <c r="I12" i="1"/>
  <c r="G12" i="1"/>
  <c r="E12" i="1"/>
  <c r="D12" i="1"/>
  <c r="C12" i="1"/>
  <c r="A12" i="1"/>
  <c r="I11" i="1"/>
  <c r="G11" i="1"/>
  <c r="E11" i="1"/>
  <c r="D11" i="1"/>
  <c r="C11" i="1"/>
  <c r="A11" i="1"/>
  <c r="I10" i="1"/>
  <c r="G10" i="1"/>
  <c r="E10" i="1"/>
  <c r="D10" i="1"/>
  <c r="C10" i="1"/>
  <c r="A10" i="1"/>
  <c r="I9" i="1"/>
  <c r="G9" i="1"/>
  <c r="E9" i="1"/>
  <c r="D9" i="1"/>
  <c r="C9" i="1"/>
  <c r="A9" i="1"/>
  <c r="I8" i="1"/>
  <c r="G8" i="1"/>
  <c r="E8" i="1"/>
  <c r="D8" i="1"/>
  <c r="C8" i="1"/>
  <c r="A8" i="1"/>
  <c r="I7" i="1"/>
  <c r="G7" i="1"/>
  <c r="E7" i="1"/>
  <c r="D7" i="1"/>
  <c r="C7" i="1"/>
  <c r="A7" i="1"/>
  <c r="I6" i="1"/>
  <c r="G6" i="1"/>
  <c r="E6" i="1"/>
  <c r="D6" i="1"/>
  <c r="C6" i="1"/>
  <c r="A6" i="1"/>
  <c r="I5" i="1"/>
  <c r="G5" i="1"/>
  <c r="E5" i="1"/>
  <c r="D5" i="1"/>
  <c r="C5" i="1"/>
  <c r="A5" i="1"/>
  <c r="I4" i="1"/>
  <c r="G4" i="1"/>
  <c r="E4" i="1"/>
  <c r="D4" i="1"/>
  <c r="C4" i="1"/>
  <c r="A4" i="1"/>
  <c r="I3" i="1"/>
  <c r="G3" i="1"/>
  <c r="E3" i="1"/>
  <c r="D3" i="1"/>
  <c r="C3" i="1"/>
  <c r="A3" i="1"/>
  <c r="I2" i="1"/>
  <c r="G2" i="1"/>
  <c r="E2" i="1"/>
  <c r="D2" i="1"/>
  <c r="C2" i="1"/>
  <c r="A2" i="1"/>
</calcChain>
</file>

<file path=xl/sharedStrings.xml><?xml version="1.0" encoding="utf-8"?>
<sst xmlns="http://schemas.openxmlformats.org/spreadsheetml/2006/main" count="725" uniqueCount="46">
  <si>
    <t>Multichannel Activity Name</t>
  </si>
  <si>
    <t>Multichannel Activity Type</t>
  </si>
  <si>
    <t>Sent Email Name</t>
  </si>
  <si>
    <t>Owner</t>
  </si>
  <si>
    <t>Account</t>
  </si>
  <si>
    <t>Sent Date</t>
  </si>
  <si>
    <t>Email Template</t>
  </si>
  <si>
    <t>Subject</t>
  </si>
  <si>
    <t>Name</t>
  </si>
  <si>
    <t>OT_Approved_Email_Action_Yes</t>
  </si>
  <si>
    <t>RXULTI® per il trattamento della schizofrenia, con o senza disturbo da uso di sostanze</t>
  </si>
  <si>
    <t>Abilify Maintena® 960 mg a rilascio prolungato</t>
  </si>
  <si>
    <t>FAD Federserd</t>
  </si>
  <si>
    <t>OT_Approved_Email_Action_No</t>
  </si>
  <si>
    <t>FAD Lingomed</t>
  </si>
  <si>
    <t>Affinità di legame recettoriale di RXULTI® e risultati di efficacia di RXULTI® rispetto ad aripiprazolo</t>
  </si>
  <si>
    <t>terapia multitarget a base di voclosporina</t>
  </si>
  <si>
    <t>Abilify Maintena 960 mg: Riclassificazione di specialità medicinali</t>
  </si>
  <si>
    <t>efficacia di voclosporina nella nefrite lupica proliferativa con alti livelli di proteinuria</t>
  </si>
  <si>
    <t>AE INAQOVI Informazioni cliniche</t>
  </si>
  <si>
    <t>voclosporina nel trattamento della nefrite lupica non altera il profilo dei biomarcatori di nefrotossicità</t>
  </si>
  <si>
    <t>TEST VAE TOKENS</t>
  </si>
  <si>
    <t>Neues aus der ASCERTAIN-Studie: Die orale Behandlung für unfitte AML-Patienten mit INAQOVI®</t>
  </si>
  <si>
    <t>INAQOVI® – Einstellung auf die orale AML-Therapie für unfitte Patienten</t>
  </si>
  <si>
    <t>¿Todos los pacientes unfit son iguales? Bienvenido a la serie de videopodcast "Nos Quedamos En Casa"</t>
  </si>
  <si>
    <t>¡Descubre el episodio "Calma mental" del podcast La Voz Amiga!</t>
  </si>
  <si>
    <t>Nueva Guía de Manejo Psicoterapéutico ¡Consúltala aquí!</t>
  </si>
  <si>
    <t>Masterclass virtuale</t>
  </si>
  <si>
    <t>Abilify Maintena® 960 mg/720 mg a rilascio prolungato</t>
  </si>
  <si>
    <t>EHA 2025 – Neues zur Behandlung unfitter AML-Patienten</t>
  </si>
  <si>
    <t>Studio su Abilify Maintena TIS vs OIS (Trovini et al)</t>
  </si>
  <si>
    <t>Ihre Einladung zum DGHO 2025</t>
  </si>
  <si>
    <t>¡RXULTI, nueva alternativa para adolescentes con esquizofrenia!</t>
  </si>
  <si>
    <t>Aderenza terapeutica con Abilify Maintena® 960 mg/720 mg</t>
  </si>
  <si>
    <t>Abilify Maintena 960 mg cada dos meses: Eficacia desde el primer día</t>
  </si>
  <si>
    <t>Impacto de la reducción de visitas hospitalarias en LMA - Bienvenido a la serie de videopodcast "Nos Quedamos En Casa"</t>
  </si>
  <si>
    <t>Caso Clínico con INAQOVI: Paciente vulnerable con LMA y TP53</t>
  </si>
  <si>
    <t>RXULTI: un antipsicótico ni activador ni sedativo</t>
  </si>
  <si>
    <t>Toni Uusitalo - Abilify Maintena 720mg</t>
  </si>
  <si>
    <t>¿Cómo abordar los retos de la esquizofrenia en adolescentes?</t>
  </si>
  <si>
    <t>Descubre RXULTI, ahora también indicado para adolescentes</t>
  </si>
  <si>
    <t>Voclosporina nel trattamento della nefrite lupica</t>
  </si>
  <si>
    <t>AML: Hohe Belastung auch für psychische Gesundheit und das tägliche Leben</t>
  </si>
  <si>
    <t>¿Puede la IA cambiar el pronóstico en nefritis lúpica?</t>
  </si>
  <si>
    <t>¿Es posible un manejo de la nefritis lúpica sin glucocorticoides?</t>
  </si>
  <si>
    <t>Manejo multidisciplinar en LMA: El rol del equipo asistencial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</si>
</sst>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\ yyyy\ hh:mm\ ;@"/>
  </numFmts>
  <fonts count="3" x14ac:knownFonts="1">
    <font>
      <sz val="11"/>
      <color indexed="8"/>
      <name val="Aptos Narrow"/>
      <family val="2"/>
      <scheme val="minor"/>
    </font>
    <font>
      <b/>
      <sz val="11"/>
      <name val="Calibri"/>
      <family val="2"/>
    </font>
    <font>
      <u/>
      <sz val="11"/>
      <color indexed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9"/>
  <sheetViews>
    <sheetView tabSelected="1" workbookViewId="0"/>
  </sheetViews>
  <sheetFormatPr baseColWidth="10" defaultColWidth="8.83203125" defaultRowHeight="15" x14ac:dyDescent="0.2"/>
  <cols>
    <col min="1" max="5" width="16" customWidth="1"/>
    <col min="6" max="6" width="20" customWidth="1"/>
    <col min="7" max="9" width="16" customWidth="1"/>
  </cols>
  <sheetData>
    <row r="1" spans="1:9" ht="3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">
      <c r="A2" s="2" t="str">
        <f>HYPERLINK("https://otsuka-europe-crm.veevavault.com/ui/#object/multichannel_activity__v/V9VZ025E827ESBL", "MCA-000020875")</f>
        <v>MCA-000020875</v>
      </c>
      <c r="B2" s="3" t="s">
        <v>9</v>
      </c>
      <c r="C2" s="2" t="str">
        <f>HYPERLINK("https://otsuka-europe-crm.veevavault.com/ui/#object/sent_email__v/VBLZ025E82A3B8T", "SE-000182263")</f>
        <v>SE-000182263</v>
      </c>
      <c r="D2" s="2" t="str">
        <f>HYPERLINK("https://otsuka-europe-crm.veevavault.com/ui/#object/user__sys/27667482", "Mariachiara Cavazzana")</f>
        <v>Mariachiara Cavazzana</v>
      </c>
      <c r="E2" s="2" t="str">
        <f>HYPERLINK("https://otsuka-europe-crm.veevavault.com/ui/#object/account__v/V4TZ06G6O71SBFC", "FRANCESCO SALVATORE MARRA")</f>
        <v>FRANCESCO SALVATORE MARRA</v>
      </c>
      <c r="F2" s="4">
        <v>45600.692476851851</v>
      </c>
      <c r="G2" s="2" t="str">
        <f>HYPERLINK("https://otsuka-europe-crm.veevavault.com/ui/#object/approved_document__v/V5OZ025E82G3MQT", "RXULTI_Branded_AE DE FILIPPIS_IT-RXU-2300072")</f>
        <v>RXULTI_Branded_AE DE FILIPPIS_IT-RXU-2300072</v>
      </c>
      <c r="H2" s="3" t="s">
        <v>10</v>
      </c>
      <c r="I2" s="2" t="str">
        <f t="shared" ref="I2:I65" si="0">HYPERLINK("https://otsuka-europe-crm.veevavault.com/ui/#object/user__sys/27667712", "Integration User")</f>
        <v>Integration User</v>
      </c>
    </row>
    <row r="3" spans="1:9" x14ac:dyDescent="0.2">
      <c r="A3" s="2" t="str">
        <f>HYPERLINK("https://otsuka-europe-crm.veevavault.com/ui/#object/multichannel_activity__v/V9VZ025E827EU69", "MCA-000020889")</f>
        <v>MCA-000020889</v>
      </c>
      <c r="B3" s="3" t="s">
        <v>9</v>
      </c>
      <c r="C3" s="2" t="str">
        <f>HYPERLINK("https://otsuka-europe-crm.veevavault.com/ui/#object/sent_email__v/VBLZ025E82A5ISP", "SE-000183176")</f>
        <v>SE-000183176</v>
      </c>
      <c r="D3" s="2" t="str">
        <f>HYPERLINK("https://otsuka-europe-crm.veevavault.com/ui/#object/user__sys/27667798", "Tiziana Faini")</f>
        <v>Tiziana Faini</v>
      </c>
      <c r="E3" s="2" t="str">
        <f>HYPERLINK("https://otsuka-europe-crm.veevavault.com/ui/#object/account__v/V4TZ06G6O71SBL7", "ANTONELLA MAURO")</f>
        <v>ANTONELLA MAURO</v>
      </c>
      <c r="F3" s="4">
        <v>45604.472002314818</v>
      </c>
      <c r="G3" s="2" t="str">
        <f>HYPERLINK("https://otsuka-europe-crm.veevavault.com/ui/#object/approved_document__v/V5OZ025E82FUF15", "IT-AM2-2400012 - Abilify 960 lancio_v2")</f>
        <v>IT-AM2-2400012 - Abilify 960 lancio_v2</v>
      </c>
      <c r="H3" s="3" t="s">
        <v>11</v>
      </c>
      <c r="I3" s="2" t="str">
        <f t="shared" si="0"/>
        <v>Integration User</v>
      </c>
    </row>
    <row r="4" spans="1:9" x14ac:dyDescent="0.2">
      <c r="A4" s="2" t="str">
        <f>HYPERLINK("https://otsuka-europe-crm.veevavault.com/ui/#object/multichannel_activity__v/V9VZ025E827EU91", "MCA-000020890")</f>
        <v>MCA-000020890</v>
      </c>
      <c r="B4" s="3" t="s">
        <v>9</v>
      </c>
      <c r="C4" s="2" t="str">
        <f>HYPERLINK("https://otsuka-europe-crm.veevavault.com/ui/#object/sent_email__v/VBLZ025E82A5ISP", "SE-000183176")</f>
        <v>SE-000183176</v>
      </c>
      <c r="D4" s="2" t="str">
        <f>HYPERLINK("https://otsuka-europe-crm.veevavault.com/ui/#object/user__sys/27667798", "Tiziana Faini")</f>
        <v>Tiziana Faini</v>
      </c>
      <c r="E4" s="2" t="str">
        <f>HYPERLINK("https://otsuka-europe-crm.veevavault.com/ui/#object/account__v/V4TZ06G6O71SBL7", "ANTONELLA MAURO")</f>
        <v>ANTONELLA MAURO</v>
      </c>
      <c r="F4" s="4">
        <v>45604.472002314818</v>
      </c>
      <c r="G4" s="2" t="str">
        <f>HYPERLINK("https://otsuka-europe-crm.veevavault.com/ui/#object/approved_document__v/V5OZ025E82FUF15", "IT-AM2-2400012 - Abilify 960 lancio_v2")</f>
        <v>IT-AM2-2400012 - Abilify 960 lancio_v2</v>
      </c>
      <c r="H4" s="3" t="s">
        <v>11</v>
      </c>
      <c r="I4" s="2" t="str">
        <f t="shared" si="0"/>
        <v>Integration User</v>
      </c>
    </row>
    <row r="5" spans="1:9" x14ac:dyDescent="0.2">
      <c r="A5" s="2" t="str">
        <f>HYPERLINK("https://otsuka-europe-crm.veevavault.com/ui/#object/multichannel_activity__v/V9VZ025E827EUBT", "MCA-000020891")</f>
        <v>MCA-000020891</v>
      </c>
      <c r="B5" s="3" t="s">
        <v>9</v>
      </c>
      <c r="C5" s="2" t="str">
        <f>HYPERLINK("https://otsuka-europe-crm.veevavault.com/ui/#object/sent_email__v/VBLZ025E82A5ISP", "SE-000183176")</f>
        <v>SE-000183176</v>
      </c>
      <c r="D5" s="2" t="str">
        <f>HYPERLINK("https://otsuka-europe-crm.veevavault.com/ui/#object/user__sys/27667798", "Tiziana Faini")</f>
        <v>Tiziana Faini</v>
      </c>
      <c r="E5" s="2" t="str">
        <f>HYPERLINK("https://otsuka-europe-crm.veevavault.com/ui/#object/account__v/V4TZ06G6O71SBL7", "ANTONELLA MAURO")</f>
        <v>ANTONELLA MAURO</v>
      </c>
      <c r="F5" s="4">
        <v>45604.472002314818</v>
      </c>
      <c r="G5" s="2" t="str">
        <f>HYPERLINK("https://otsuka-europe-crm.veevavault.com/ui/#object/approved_document__v/V5OZ025E82FUF15", "IT-AM2-2400012 - Abilify 960 lancio_v2")</f>
        <v>IT-AM2-2400012 - Abilify 960 lancio_v2</v>
      </c>
      <c r="H5" s="3" t="s">
        <v>11</v>
      </c>
      <c r="I5" s="2" t="str">
        <f t="shared" si="0"/>
        <v>Integration User</v>
      </c>
    </row>
    <row r="6" spans="1:9" x14ac:dyDescent="0.2">
      <c r="A6" s="2" t="str">
        <f>HYPERLINK("https://otsuka-europe-crm.veevavault.com/ui/#object/multichannel_activity__v/V9VZ025E827KAE5", "MCA-000021380")</f>
        <v>MCA-000021380</v>
      </c>
      <c r="B6" s="3" t="s">
        <v>9</v>
      </c>
      <c r="C6" s="2" t="str">
        <f>HYPERLINK("https://otsuka-europe-crm.veevavault.com/ui/#object/sent_email__v/VBLZ025E82AGZZP", "SE-000187480")</f>
        <v>SE-000187480</v>
      </c>
      <c r="D6" s="2" t="str">
        <f>HYPERLINK("https://otsuka-europe-crm.veevavault.com/ui/#object/user__sys/27667482", "Mariachiara Cavazzana")</f>
        <v>Mariachiara Cavazzana</v>
      </c>
      <c r="E6" s="2" t="str">
        <f>HYPERLINK("https://otsuka-europe-crm.veevavault.com/ui/#object/account__v/V4TZ06G6O71SA57", "ROSSELLA BUONOMO")</f>
        <v>ROSSELLA BUONOMO</v>
      </c>
      <c r="F6" s="4">
        <v>45629.424131944441</v>
      </c>
      <c r="G6" s="2" t="str">
        <f>HYPERLINK("https://otsuka-europe-crm.veevavault.com/ui/#object/approved_document__v/V5OZ025E82FUF15", "IT-AM2-2400012 - Abilify 960 lancio_v2")</f>
        <v>IT-AM2-2400012 - Abilify 960 lancio_v2</v>
      </c>
      <c r="H6" s="3" t="s">
        <v>11</v>
      </c>
      <c r="I6" s="2" t="str">
        <f t="shared" si="0"/>
        <v>Integration User</v>
      </c>
    </row>
    <row r="7" spans="1:9" x14ac:dyDescent="0.2">
      <c r="A7" s="2" t="str">
        <f>HYPERLINK("https://otsuka-europe-crm.veevavault.com/ui/#object/multichannel_activity__v/V9VZ025E827MEPD", "MCA-000021543")</f>
        <v>MCA-000021543</v>
      </c>
      <c r="B7" s="3" t="s">
        <v>9</v>
      </c>
      <c r="C7" s="2" t="str">
        <f>HYPERLINK("https://otsuka-europe-crm.veevavault.com/ui/#object/sent_email__v/VBLZ025E82AP0ND", "SE-000189452")</f>
        <v>SE-000189452</v>
      </c>
      <c r="D7" s="2" t="str">
        <f>HYPERLINK("https://otsuka-europe-crm.veevavault.com/ui/#object/user__sys/27667940", "Paola Braconi")</f>
        <v>Paola Braconi</v>
      </c>
      <c r="E7" s="2" t="str">
        <f>HYPERLINK("https://otsuka-europe-crm.veevavault.com/ui/#object/account__v/V4TZ06G6O71SC9S", "ANGELA SABATINO")</f>
        <v>ANGELA SABATINO</v>
      </c>
      <c r="F7" s="4">
        <v>45645.340219907404</v>
      </c>
      <c r="G7" s="2" t="str">
        <f>HYPERLINK("https://otsuka-europe-crm.veevavault.com/ui/#object/approved_document__v/V5OZ025E82FUF15", "IT-AM2-2400012 - Abilify 960 lancio_v2")</f>
        <v>IT-AM2-2400012 - Abilify 960 lancio_v2</v>
      </c>
      <c r="H7" s="3" t="s">
        <v>11</v>
      </c>
      <c r="I7" s="2" t="str">
        <f t="shared" si="0"/>
        <v>Integration User</v>
      </c>
    </row>
    <row r="8" spans="1:9" x14ac:dyDescent="0.2">
      <c r="A8" s="2" t="str">
        <f>HYPERLINK("https://otsuka-europe-crm.veevavault.com/ui/#object/multichannel_activity__v/V9VZ025E827RXMH", "MCA-000022088")</f>
        <v>MCA-000022088</v>
      </c>
      <c r="B8" s="3" t="s">
        <v>9</v>
      </c>
      <c r="C8" s="2" t="str">
        <f>HYPERLINK("https://otsuka-europe-crm.veevavault.com/ui/#object/sent_email__v/VBLZ025E82B3IEP", "SE-000192444")</f>
        <v>SE-000192444</v>
      </c>
      <c r="D8" s="2" t="str">
        <f>HYPERLINK("https://otsuka-europe-crm.veevavault.com/ui/#object/user__sys/27667808", "Marina Maccaglia")</f>
        <v>Marina Maccaglia</v>
      </c>
      <c r="E8" s="2" t="str">
        <f>HYPERLINK("https://otsuka-europe-crm.veevavault.com/ui/#object/account__v/V4TZ06G6O71SCNL", "MONICA VERUCCI")</f>
        <v>MONICA VERUCCI</v>
      </c>
      <c r="F8" s="4">
        <v>45684.578587962962</v>
      </c>
      <c r="G8" s="2" t="str">
        <f>HYPERLINK("https://otsuka-europe-crm.veevavault.com/ui/#object/approved_document__v/V5OZ025E82IBS8L", "Otsuka_unbranded_AE FAD Federserd-IT-AM-2400028")</f>
        <v>Otsuka_unbranded_AE FAD Federserd-IT-AM-2400028</v>
      </c>
      <c r="H8" s="3" t="s">
        <v>12</v>
      </c>
      <c r="I8" s="2" t="str">
        <f t="shared" si="0"/>
        <v>Integration User</v>
      </c>
    </row>
    <row r="9" spans="1:9" x14ac:dyDescent="0.2">
      <c r="A9" s="2" t="str">
        <f>HYPERLINK("https://otsuka-europe-crm.veevavault.com/ui/#object/multichannel_activity__v/V9VZ025E827SFG5", "MCA-000022127")</f>
        <v>MCA-000022127</v>
      </c>
      <c r="B9" s="3" t="s">
        <v>9</v>
      </c>
      <c r="C9" s="2" t="str">
        <f>HYPERLINK("https://otsuka-europe-crm.veevavault.com/ui/#object/sent_email__v/VBLZ025E82B4DW2", "SE-000192662")</f>
        <v>SE-000192662</v>
      </c>
      <c r="D9" s="2" t="str">
        <f t="shared" ref="D9:D17" si="1">HYPERLINK("https://otsuka-europe-crm.veevavault.com/ui/#object/user__sys/27667812", "Sandro Vitto")</f>
        <v>Sandro Vitto</v>
      </c>
      <c r="E9" s="2" t="str">
        <f>HYPERLINK("https://otsuka-europe-crm.veevavault.com/ui/#object/account__v/V4TZ04ASG9RHQBA", "GIOVANNI LAERA")</f>
        <v>GIOVANNI LAERA</v>
      </c>
      <c r="F9" s="4">
        <v>45685.468634259261</v>
      </c>
      <c r="G9" s="2" t="str">
        <f>HYPERLINK("https://otsuka-europe-crm.veevavault.com/ui/#object/approved_document__v/V5OZ025E82G3MQT", "RXULTI_Branded_AE DE FILIPPIS_IT-RXU-2300072")</f>
        <v>RXULTI_Branded_AE DE FILIPPIS_IT-RXU-2300072</v>
      </c>
      <c r="H9" s="3" t="s">
        <v>10</v>
      </c>
      <c r="I9" s="2" t="str">
        <f t="shared" si="0"/>
        <v>Integration User</v>
      </c>
    </row>
    <row r="10" spans="1:9" x14ac:dyDescent="0.2">
      <c r="A10" s="2" t="str">
        <f>HYPERLINK("https://otsuka-europe-crm.veevavault.com/ui/#object/multichannel_activity__v/V9VZ025E827VXOL", "MCA-000022410")</f>
        <v>MCA-000022410</v>
      </c>
      <c r="B10" s="3" t="s">
        <v>9</v>
      </c>
      <c r="C10" s="2" t="str">
        <f>HYPERLINK("https://otsuka-europe-crm.veevavault.com/ui/#object/sent_email__v/VBLZ025E82BEDX5", "SE-000197588")</f>
        <v>SE-000197588</v>
      </c>
      <c r="D10" s="2" t="str">
        <f t="shared" si="1"/>
        <v>Sandro Vitto</v>
      </c>
      <c r="E10" s="2" t="str">
        <f>HYPERLINK("https://otsuka-europe-crm.veevavault.com/ui/#object/account__v/V4TZ04ASG9RHQBA", "GIOVANNI LAERA")</f>
        <v>GIOVANNI LAERA</v>
      </c>
      <c r="F10" s="4">
        <v>45698.36681712963</v>
      </c>
      <c r="G10" s="2" t="str">
        <f>HYPERLINK("https://otsuka-europe-crm.veevavault.com/ui/#object/approved_document__v/V5OZ025E82FUF15", "IT-AM2-2400012 - Abilify 960 lancio_v2")</f>
        <v>IT-AM2-2400012 - Abilify 960 lancio_v2</v>
      </c>
      <c r="H10" s="3" t="s">
        <v>11</v>
      </c>
      <c r="I10" s="2" t="str">
        <f t="shared" si="0"/>
        <v>Integration User</v>
      </c>
    </row>
    <row r="11" spans="1:9" x14ac:dyDescent="0.2">
      <c r="A11" s="2" t="str">
        <f>HYPERLINK("https://otsuka-europe-crm.veevavault.com/ui/#object/multichannel_activity__v/V9VZ025E827WVSD", "MCA-000022511")</f>
        <v>MCA-000022511</v>
      </c>
      <c r="B11" s="3" t="s">
        <v>9</v>
      </c>
      <c r="C11" s="2" t="str">
        <f>HYPERLINK("https://otsuka-europe-crm.veevavault.com/ui/#object/sent_email__v/VBLZ025E82BJ1IH", "SE-000199478")</f>
        <v>SE-000199478</v>
      </c>
      <c r="D11" s="2" t="str">
        <f t="shared" si="1"/>
        <v>Sandro Vitto</v>
      </c>
      <c r="E11" s="2" t="str">
        <f>HYPERLINK("https://otsuka-europe-crm.veevavault.com/ui/#object/account__v/V4TZ06G6O71TLEK", "GIUSEPPE CARACCIOLO")</f>
        <v>GIUSEPPE CARACCIOLO</v>
      </c>
      <c r="F11" s="4">
        <v>45701.541168981479</v>
      </c>
      <c r="G11" s="2" t="str">
        <f t="shared" ref="G11:G17" si="2">HYPERLINK("https://otsuka-europe-crm.veevavault.com/ui/#object/approved_document__v/V5OZ025E82G3MQT", "RXULTI_Branded_AE DE FILIPPIS_IT-RXU-2300072")</f>
        <v>RXULTI_Branded_AE DE FILIPPIS_IT-RXU-2300072</v>
      </c>
      <c r="H11" s="3" t="s">
        <v>10</v>
      </c>
      <c r="I11" s="2" t="str">
        <f t="shared" si="0"/>
        <v>Integration User</v>
      </c>
    </row>
    <row r="12" spans="1:9" x14ac:dyDescent="0.2">
      <c r="A12" s="2" t="str">
        <f>HYPERLINK("https://otsuka-europe-crm.veevavault.com/ui/#object/multichannel_activity__v/V9VZ025E827XQKP", "MCA-000022580")</f>
        <v>MCA-000022580</v>
      </c>
      <c r="B12" s="3" t="s">
        <v>9</v>
      </c>
      <c r="C12" s="2" t="str">
        <f t="shared" ref="C12:C17" si="3">HYPERLINK("https://otsuka-europe-crm.veevavault.com/ui/#object/sent_email__v/VBLZ025E82BJ0W9", "SE-000199473")</f>
        <v>SE-000199473</v>
      </c>
      <c r="D12" s="2" t="str">
        <f t="shared" si="1"/>
        <v>Sandro Vitto</v>
      </c>
      <c r="E12" s="2" t="str">
        <f t="shared" ref="E12:E17" si="4">HYPERLINK("https://otsuka-europe-crm.veevavault.com/ui/#object/account__v/V4TZ06G6O71SCQ4", "MARIO VIOLANTE")</f>
        <v>MARIO VIOLANTE</v>
      </c>
      <c r="F12" s="4">
        <v>45701.538842592592</v>
      </c>
      <c r="G12" s="2" t="str">
        <f t="shared" si="2"/>
        <v>RXULTI_Branded_AE DE FILIPPIS_IT-RXU-2300072</v>
      </c>
      <c r="H12" s="3" t="s">
        <v>10</v>
      </c>
      <c r="I12" s="2" t="str">
        <f t="shared" si="0"/>
        <v>Integration User</v>
      </c>
    </row>
    <row r="13" spans="1:9" x14ac:dyDescent="0.2">
      <c r="A13" s="2" t="str">
        <f>HYPERLINK("https://otsuka-europe-crm.veevavault.com/ui/#object/multichannel_activity__v/V9VZ025E827XQNH", "MCA-000022581")</f>
        <v>MCA-000022581</v>
      </c>
      <c r="B13" s="3" t="s">
        <v>9</v>
      </c>
      <c r="C13" s="2" t="str">
        <f t="shared" si="3"/>
        <v>SE-000199473</v>
      </c>
      <c r="D13" s="2" t="str">
        <f t="shared" si="1"/>
        <v>Sandro Vitto</v>
      </c>
      <c r="E13" s="2" t="str">
        <f t="shared" si="4"/>
        <v>MARIO VIOLANTE</v>
      </c>
      <c r="F13" s="4">
        <v>45701.538842592592</v>
      </c>
      <c r="G13" s="2" t="str">
        <f t="shared" si="2"/>
        <v>RXULTI_Branded_AE DE FILIPPIS_IT-RXU-2300072</v>
      </c>
      <c r="H13" s="3" t="s">
        <v>10</v>
      </c>
      <c r="I13" s="2" t="str">
        <f t="shared" si="0"/>
        <v>Integration User</v>
      </c>
    </row>
    <row r="14" spans="1:9" x14ac:dyDescent="0.2">
      <c r="A14" s="2" t="str">
        <f>HYPERLINK("https://otsuka-europe-crm.veevavault.com/ui/#object/multichannel_activity__v/V9VZ025E827XQQ9", "MCA-000022582")</f>
        <v>MCA-000022582</v>
      </c>
      <c r="B14" s="3" t="s">
        <v>9</v>
      </c>
      <c r="C14" s="2" t="str">
        <f t="shared" si="3"/>
        <v>SE-000199473</v>
      </c>
      <c r="D14" s="2" t="str">
        <f t="shared" si="1"/>
        <v>Sandro Vitto</v>
      </c>
      <c r="E14" s="2" t="str">
        <f t="shared" si="4"/>
        <v>MARIO VIOLANTE</v>
      </c>
      <c r="F14" s="4">
        <v>45701.538842592592</v>
      </c>
      <c r="G14" s="2" t="str">
        <f t="shared" si="2"/>
        <v>RXULTI_Branded_AE DE FILIPPIS_IT-RXU-2300072</v>
      </c>
      <c r="H14" s="3" t="s">
        <v>10</v>
      </c>
      <c r="I14" s="2" t="str">
        <f t="shared" si="0"/>
        <v>Integration User</v>
      </c>
    </row>
    <row r="15" spans="1:9" x14ac:dyDescent="0.2">
      <c r="A15" s="2" t="str">
        <f>HYPERLINK("https://otsuka-europe-crm.veevavault.com/ui/#object/multichannel_activity__v/V9VZ025E827XQT1", "MCA-000022583")</f>
        <v>MCA-000022583</v>
      </c>
      <c r="B15" s="3" t="s">
        <v>13</v>
      </c>
      <c r="C15" s="2" t="str">
        <f t="shared" si="3"/>
        <v>SE-000199473</v>
      </c>
      <c r="D15" s="2" t="str">
        <f t="shared" si="1"/>
        <v>Sandro Vitto</v>
      </c>
      <c r="E15" s="2" t="str">
        <f t="shared" si="4"/>
        <v>MARIO VIOLANTE</v>
      </c>
      <c r="F15" s="4">
        <v>45701.538842592592</v>
      </c>
      <c r="G15" s="2" t="str">
        <f t="shared" si="2"/>
        <v>RXULTI_Branded_AE DE FILIPPIS_IT-RXU-2300072</v>
      </c>
      <c r="H15" s="3" t="s">
        <v>10</v>
      </c>
      <c r="I15" s="2" t="str">
        <f t="shared" si="0"/>
        <v>Integration User</v>
      </c>
    </row>
    <row r="16" spans="1:9" x14ac:dyDescent="0.2">
      <c r="A16" s="2" t="str">
        <f>HYPERLINK("https://otsuka-europe-crm.veevavault.com/ui/#object/multichannel_activity__v/V9VZ025E827XQVT", "MCA-000022584")</f>
        <v>MCA-000022584</v>
      </c>
      <c r="B16" s="3" t="s">
        <v>9</v>
      </c>
      <c r="C16" s="2" t="str">
        <f t="shared" si="3"/>
        <v>SE-000199473</v>
      </c>
      <c r="D16" s="2" t="str">
        <f t="shared" si="1"/>
        <v>Sandro Vitto</v>
      </c>
      <c r="E16" s="2" t="str">
        <f t="shared" si="4"/>
        <v>MARIO VIOLANTE</v>
      </c>
      <c r="F16" s="4">
        <v>45701.538842592592</v>
      </c>
      <c r="G16" s="2" t="str">
        <f t="shared" si="2"/>
        <v>RXULTI_Branded_AE DE FILIPPIS_IT-RXU-2300072</v>
      </c>
      <c r="H16" s="3" t="s">
        <v>10</v>
      </c>
      <c r="I16" s="2" t="str">
        <f t="shared" si="0"/>
        <v>Integration User</v>
      </c>
    </row>
    <row r="17" spans="1:9" x14ac:dyDescent="0.2">
      <c r="A17" s="2" t="str">
        <f>HYPERLINK("https://otsuka-europe-crm.veevavault.com/ui/#object/multichannel_activity__v/V9VZ025E827XQYL", "MCA-000022585")</f>
        <v>MCA-000022585</v>
      </c>
      <c r="B17" s="3" t="s">
        <v>13</v>
      </c>
      <c r="C17" s="2" t="str">
        <f t="shared" si="3"/>
        <v>SE-000199473</v>
      </c>
      <c r="D17" s="2" t="str">
        <f t="shared" si="1"/>
        <v>Sandro Vitto</v>
      </c>
      <c r="E17" s="2" t="str">
        <f t="shared" si="4"/>
        <v>MARIO VIOLANTE</v>
      </c>
      <c r="F17" s="4">
        <v>45701.538842592592</v>
      </c>
      <c r="G17" s="2" t="str">
        <f t="shared" si="2"/>
        <v>RXULTI_Branded_AE DE FILIPPIS_IT-RXU-2300072</v>
      </c>
      <c r="H17" s="3" t="s">
        <v>10</v>
      </c>
      <c r="I17" s="2" t="str">
        <f t="shared" si="0"/>
        <v>Integration User</v>
      </c>
    </row>
    <row r="18" spans="1:9" x14ac:dyDescent="0.2">
      <c r="A18" s="2" t="str">
        <f>HYPERLINK("https://otsuka-europe-crm.veevavault.com/ui/#object/multichannel_activity__v/V9VZ025E827ZR9D", "MCA-000022747")</f>
        <v>MCA-000022747</v>
      </c>
      <c r="B18" s="3" t="s">
        <v>9</v>
      </c>
      <c r="C18" s="2" t="str">
        <f>HYPERLINK("https://otsuka-europe-crm.veevavault.com/ui/#object/sent_email__v/VBLZ025E82BEI8P", "SE-000197602")</f>
        <v>SE-000197602</v>
      </c>
      <c r="D18" s="2" t="str">
        <f>HYPERLINK("https://otsuka-europe-crm.veevavault.com/ui/#object/user__sys/27667482", "Mariachiara Cavazzana")</f>
        <v>Mariachiara Cavazzana</v>
      </c>
      <c r="E18" s="2" t="str">
        <f>HYPERLINK("https://otsuka-europe-crm.veevavault.com/ui/#object/account__v/V4TZ06G6O71SBFC", "FRANCESCO SALVATORE MARRA")</f>
        <v>FRANCESCO SALVATORE MARRA</v>
      </c>
      <c r="F18" s="4">
        <v>45698.432650462964</v>
      </c>
      <c r="G18" s="2" t="str">
        <f>HYPERLINK("https://otsuka-europe-crm.veevavault.com/ui/#object/approved_document__v/V5OZ025E82IBS8N", "OTSUKA_Unbranded_AE FAD Lingomed - IT-RXU-2400066")</f>
        <v>OTSUKA_Unbranded_AE FAD Lingomed - IT-RXU-2400066</v>
      </c>
      <c r="H18" s="3" t="s">
        <v>14</v>
      </c>
      <c r="I18" s="2" t="str">
        <f t="shared" si="0"/>
        <v>Integration User</v>
      </c>
    </row>
    <row r="19" spans="1:9" x14ac:dyDescent="0.2">
      <c r="A19" s="2" t="str">
        <f>HYPERLINK("https://otsuka-europe-crm.veevavault.com/ui/#object/multichannel_activity__v/V9VZ025E8280R7T", "MCA-000022861")</f>
        <v>MCA-000022861</v>
      </c>
      <c r="B19" s="3" t="s">
        <v>9</v>
      </c>
      <c r="C19" s="2" t="str">
        <f>HYPERLINK("https://otsuka-europe-crm.veevavault.com/ui/#object/sent_email__v/VBLZ025E82BSQCT", "SE-000200959")</f>
        <v>SE-000200959</v>
      </c>
      <c r="D19" s="2" t="str">
        <f>HYPERLINK("https://otsuka-europe-crm.veevavault.com/ui/#object/user__sys/27667812", "Sandro Vitto")</f>
        <v>Sandro Vitto</v>
      </c>
      <c r="E19" s="2" t="str">
        <f>HYPERLINK("https://otsuka-europe-crm.veevavault.com/ui/#object/account__v/V4TZ06G6O71SBZT", "MARIA ANTONIETTA PIEMONTESE")</f>
        <v>MARIA ANTONIETTA PIEMONTESE</v>
      </c>
      <c r="F19" s="4">
        <v>45715.548182870371</v>
      </c>
      <c r="G19" s="2" t="str">
        <f>HYPERLINK("https://otsuka-europe-crm.veevavault.com/ui/#object/approved_document__v/V5OZ025E82IBS8L", "Otsuka_unbranded_AE FAD Federserd-IT-AM-2400028")</f>
        <v>Otsuka_unbranded_AE FAD Federserd-IT-AM-2400028</v>
      </c>
      <c r="H19" s="3" t="s">
        <v>12</v>
      </c>
      <c r="I19" s="2" t="str">
        <f t="shared" si="0"/>
        <v>Integration User</v>
      </c>
    </row>
    <row r="20" spans="1:9" x14ac:dyDescent="0.2">
      <c r="A20" s="2" t="str">
        <f>HYPERLINK("https://otsuka-europe-crm.veevavault.com/ui/#object/multichannel_activity__v/V9VZ025E8281395", "MCA-000022907")</f>
        <v>MCA-000022907</v>
      </c>
      <c r="B20" s="3" t="s">
        <v>9</v>
      </c>
      <c r="C20" s="2" t="str">
        <f>HYPERLINK("https://otsuka-europe-crm.veevavault.com/ui/#object/sent_email__v/VBLZ025E82BSQQP", "SE-000200964")</f>
        <v>SE-000200964</v>
      </c>
      <c r="D20" s="2" t="str">
        <f>HYPERLINK("https://otsuka-europe-crm.veevavault.com/ui/#object/user__sys/27667812", "Sandro Vitto")</f>
        <v>Sandro Vitto</v>
      </c>
      <c r="E20" s="2" t="str">
        <f>HYPERLINK("https://otsuka-europe-crm.veevavault.com/ui/#object/account__v/V4TZ06G6O71SC4P", "MARILENA ROMANELLI")</f>
        <v>MARILENA ROMANELLI</v>
      </c>
      <c r="F20" s="4">
        <v>45715.548576388886</v>
      </c>
      <c r="G20" s="2" t="str">
        <f>HYPERLINK("https://otsuka-europe-crm.veevavault.com/ui/#object/approved_document__v/V5OZ025E82FUF15", "IT-AM2-2400012 - Abilify 960 lancio_v2")</f>
        <v>IT-AM2-2400012 - Abilify 960 lancio_v2</v>
      </c>
      <c r="H20" s="3" t="s">
        <v>11</v>
      </c>
      <c r="I20" s="2" t="str">
        <f t="shared" si="0"/>
        <v>Integration User</v>
      </c>
    </row>
    <row r="21" spans="1:9" x14ac:dyDescent="0.2">
      <c r="A21" s="2" t="str">
        <f>HYPERLINK("https://otsuka-europe-crm.veevavault.com/ui/#object/multichannel_activity__v/V9VZ025E8282IHL", "MCA-000023077")</f>
        <v>MCA-000023077</v>
      </c>
      <c r="B21" s="3" t="s">
        <v>9</v>
      </c>
      <c r="C21" s="2" t="str">
        <f>HYPERLINK("https://otsuka-europe-crm.veevavault.com/ui/#object/sent_email__v/VBLZ025E82BZD8T", "SE-000202698")</f>
        <v>SE-000202698</v>
      </c>
      <c r="D21" s="2" t="str">
        <f>HYPERLINK("https://otsuka-europe-crm.veevavault.com/ui/#object/user__sys/27667482", "Mariachiara Cavazzana")</f>
        <v>Mariachiara Cavazzana</v>
      </c>
      <c r="E21" s="2" t="str">
        <f>HYPERLINK("https://otsuka-europe-crm.veevavault.com/ui/#object/account__v/V4TZ06G6O71SAPL", "MASSIMO GARATTI")</f>
        <v>MASSIMO GARATTI</v>
      </c>
      <c r="F21" s="4">
        <v>45726.429305555554</v>
      </c>
      <c r="G21" s="2" t="str">
        <f>HYPERLINK("https://otsuka-europe-crm.veevavault.com/ui/#object/approved_document__v/V5OZ025E82LFEU1", "AE 1 NEW affinità recettoriale, PANSS e Impulsività")</f>
        <v>AE 1 NEW affinità recettoriale, PANSS e Impulsività</v>
      </c>
      <c r="H21" s="3" t="s">
        <v>15</v>
      </c>
      <c r="I21" s="2" t="str">
        <f t="shared" si="0"/>
        <v>Integration User</v>
      </c>
    </row>
    <row r="22" spans="1:9" x14ac:dyDescent="0.2">
      <c r="A22" s="2" t="str">
        <f>HYPERLINK("https://otsuka-europe-crm.veevavault.com/ui/#object/multichannel_activity__v/V9VZ025E828363L", "MCA-000023142")</f>
        <v>MCA-000023142</v>
      </c>
      <c r="B22" s="3" t="s">
        <v>9</v>
      </c>
      <c r="C22" s="2" t="str">
        <f>HYPERLINK("https://otsuka-europe-crm.veevavault.com/ui/#object/sent_email__v/VBLZ025E82BZCPD", "SE-000202691")</f>
        <v>SE-000202691</v>
      </c>
      <c r="D22" s="2" t="str">
        <f>HYPERLINK("https://otsuka-europe-crm.veevavault.com/ui/#object/user__sys/27667482", "Mariachiara Cavazzana")</f>
        <v>Mariachiara Cavazzana</v>
      </c>
      <c r="E22" s="2" t="str">
        <f>HYPERLINK("https://otsuka-europe-crm.veevavault.com/ui/#object/account__v/V4TZ06G6O71SAMP", "SILVIA FRIEDERICI")</f>
        <v>SILVIA FRIEDERICI</v>
      </c>
      <c r="F22" s="4">
        <v>45726.428391203706</v>
      </c>
      <c r="G22" s="2" t="str">
        <f>HYPERLINK("https://otsuka-europe-crm.veevavault.com/ui/#object/approved_document__v/V5OZ025E82LFEU1", "AE 1 NEW affinità recettoriale, PANSS e Impulsività")</f>
        <v>AE 1 NEW affinità recettoriale, PANSS e Impulsività</v>
      </c>
      <c r="H22" s="3" t="s">
        <v>15</v>
      </c>
      <c r="I22" s="2" t="str">
        <f t="shared" si="0"/>
        <v>Integration User</v>
      </c>
    </row>
    <row r="23" spans="1:9" x14ac:dyDescent="0.2">
      <c r="A23" s="2" t="str">
        <f>HYPERLINK("https://otsuka-europe-crm.veevavault.com/ui/#object/multichannel_activity__v/V9VZ025E8283F1T", "MCA-000023186")</f>
        <v>MCA-000023186</v>
      </c>
      <c r="B23" s="3" t="s">
        <v>9</v>
      </c>
      <c r="C23" s="2" t="str">
        <f>HYPERLINK("https://otsuka-europe-crm.veevavault.com/ui/#object/sent_email__v/VBLZ025E82BUNVO", "SE-000201359")</f>
        <v>SE-000201359</v>
      </c>
      <c r="D23" s="2" t="str">
        <f>HYPERLINK("https://otsuka-europe-crm.veevavault.com/ui/#object/user__sys/27667808", "Marina Maccaglia")</f>
        <v>Marina Maccaglia</v>
      </c>
      <c r="E23" s="2" t="str">
        <f>HYPERLINK("https://otsuka-europe-crm.veevavault.com/ui/#object/account__v/V4TZ06G6O71SAGZ", "ALESSIA DI PUCCHIO")</f>
        <v>ALESSIA DI PUCCHIO</v>
      </c>
      <c r="F23" s="4">
        <v>45719.443344907406</v>
      </c>
      <c r="G23" s="2" t="str">
        <f>HYPERLINK("https://otsuka-europe-crm.veevavault.com/ui/#object/approved_document__v/V5OZ025E82FUF15", "IT-AM2-2400012 - Abilify 960 lancio_v2")</f>
        <v>IT-AM2-2400012 - Abilify 960 lancio_v2</v>
      </c>
      <c r="H23" s="3" t="s">
        <v>11</v>
      </c>
      <c r="I23" s="2" t="str">
        <f t="shared" si="0"/>
        <v>Integration User</v>
      </c>
    </row>
    <row r="24" spans="1:9" x14ac:dyDescent="0.2">
      <c r="A24" s="2" t="str">
        <f>HYPERLINK("https://otsuka-europe-crm.veevavault.com/ui/#object/multichannel_activity__v/V9VZ025E8283F4L", "MCA-000023187")</f>
        <v>MCA-000023187</v>
      </c>
      <c r="B24" s="3" t="s">
        <v>13</v>
      </c>
      <c r="C24" s="2" t="str">
        <f>HYPERLINK("https://otsuka-europe-crm.veevavault.com/ui/#object/sent_email__v/VBLZ025E82BUNVO", "SE-000201359")</f>
        <v>SE-000201359</v>
      </c>
      <c r="D24" s="2" t="str">
        <f>HYPERLINK("https://otsuka-europe-crm.veevavault.com/ui/#object/user__sys/27667808", "Marina Maccaglia")</f>
        <v>Marina Maccaglia</v>
      </c>
      <c r="E24" s="2" t="str">
        <f>HYPERLINK("https://otsuka-europe-crm.veevavault.com/ui/#object/account__v/V4TZ06G6O71SAGZ", "ALESSIA DI PUCCHIO")</f>
        <v>ALESSIA DI PUCCHIO</v>
      </c>
      <c r="F24" s="4">
        <v>45719.443344907406</v>
      </c>
      <c r="G24" s="2" t="str">
        <f>HYPERLINK("https://otsuka-europe-crm.veevavault.com/ui/#object/approved_document__v/V5OZ025E82FUF15", "IT-AM2-2400012 - Abilify 960 lancio_v2")</f>
        <v>IT-AM2-2400012 - Abilify 960 lancio_v2</v>
      </c>
      <c r="H24" s="3" t="s">
        <v>11</v>
      </c>
      <c r="I24" s="2" t="str">
        <f t="shared" si="0"/>
        <v>Integration User</v>
      </c>
    </row>
    <row r="25" spans="1:9" x14ac:dyDescent="0.2">
      <c r="A25" s="2" t="str">
        <f>HYPERLINK("https://otsuka-europe-crm.veevavault.com/ui/#object/multichannel_activity__v/V9VZ025E8285Q89", "MCA-000023401")</f>
        <v>MCA-000023401</v>
      </c>
      <c r="B25" s="3" t="s">
        <v>9</v>
      </c>
      <c r="C25" s="2" t="str">
        <f>HYPERLINK("https://otsuka-europe-crm.veevavault.com/ui/#object/sent_email__v/VBLZ025E82C3FJI", "SE-000203737")</f>
        <v>SE-000203737</v>
      </c>
      <c r="D25" s="2" t="str">
        <f>HYPERLINK("https://otsuka-europe-crm.veevavault.com/ui/#object/user__sys/27667814", "Linda Ottavo")</f>
        <v>Linda Ottavo</v>
      </c>
      <c r="E25" s="2" t="str">
        <f>HYPERLINK("https://otsuka-europe-crm.veevavault.com/ui/#object/account__v/V4TZ06G6O71SAG3", "LORENZO DI LIBERATO")</f>
        <v>LORENZO DI LIBERATO</v>
      </c>
      <c r="F25" s="4">
        <v>45729.765335648146</v>
      </c>
      <c r="G25" s="2" t="str">
        <f>HYPERLINK("https://otsuka-europe-crm.veevavault.com/ui/#object/approved_document__v/V5OZ025E82M4D27", "AE Propensity Analysis- IT-LUP-2500004 Nefro")</f>
        <v>AE Propensity Analysis- IT-LUP-2500004 Nefro</v>
      </c>
      <c r="H25" s="3" t="s">
        <v>16</v>
      </c>
      <c r="I25" s="2" t="str">
        <f t="shared" si="0"/>
        <v>Integration User</v>
      </c>
    </row>
    <row r="26" spans="1:9" x14ac:dyDescent="0.2">
      <c r="A26" s="2" t="str">
        <f>HYPERLINK("https://otsuka-europe-crm.veevavault.com/ui/#object/multichannel_activity__v/V9VZ025E8286WFP", "MCA-000023460")</f>
        <v>MCA-000023460</v>
      </c>
      <c r="B26" s="3" t="s">
        <v>9</v>
      </c>
      <c r="C26" s="2" t="str">
        <f>HYPERLINK("https://otsuka-europe-crm.veevavault.com/ui/#object/sent_email__v/VBLZ025E82CE645", "SE-000205854")</f>
        <v>SE-000205854</v>
      </c>
      <c r="D26" s="2" t="str">
        <f>HYPERLINK("https://otsuka-europe-crm.veevavault.com/ui/#object/user__sys/27667886", "Claudia Rondina")</f>
        <v>Claudia Rondina</v>
      </c>
      <c r="E26" s="2" t="str">
        <f>HYPERLINK("https://otsuka-europe-crm.veevavault.com/ui/#object/account__v/V4TZ04ASGE770M8", "VERONICA BAGLIO")</f>
        <v>VERONICA BAGLIO</v>
      </c>
      <c r="F26" s="4">
        <v>45742.456886574073</v>
      </c>
      <c r="G26" s="2" t="str">
        <f>HYPERLINK("https://otsuka-europe-crm.veevavault.com/ui/#object/approved_document__v/V5OZ025E82MA4MI", "AE Propensity Analysis- IT-LUP-2500004 Nefro")</f>
        <v>AE Propensity Analysis- IT-LUP-2500004 Nefro</v>
      </c>
      <c r="H26" s="3" t="s">
        <v>16</v>
      </c>
      <c r="I26" s="2" t="str">
        <f t="shared" si="0"/>
        <v>Integration User</v>
      </c>
    </row>
    <row r="27" spans="1:9" x14ac:dyDescent="0.2">
      <c r="A27" s="2" t="str">
        <f>HYPERLINK("https://otsuka-europe-crm.veevavault.com/ui/#object/multichannel_activity__v/V9VZ025E8286WIH", "MCA-000023461")</f>
        <v>MCA-000023461</v>
      </c>
      <c r="B27" s="3" t="s">
        <v>13</v>
      </c>
      <c r="C27" s="2" t="str">
        <f>HYPERLINK("https://otsuka-europe-crm.veevavault.com/ui/#object/sent_email__v/VBLZ025E82CE645", "SE-000205854")</f>
        <v>SE-000205854</v>
      </c>
      <c r="D27" s="2" t="str">
        <f>HYPERLINK("https://otsuka-europe-crm.veevavault.com/ui/#object/user__sys/27667886", "Claudia Rondina")</f>
        <v>Claudia Rondina</v>
      </c>
      <c r="E27" s="2" t="str">
        <f>HYPERLINK("https://otsuka-europe-crm.veevavault.com/ui/#object/account__v/V4TZ04ASGE770M8", "VERONICA BAGLIO")</f>
        <v>VERONICA BAGLIO</v>
      </c>
      <c r="F27" s="4">
        <v>45742.456886574073</v>
      </c>
      <c r="G27" s="2" t="str">
        <f>HYPERLINK("https://otsuka-europe-crm.veevavault.com/ui/#object/approved_document__v/V5OZ025E82MA4MI", "AE Propensity Analysis- IT-LUP-2500004 Nefro")</f>
        <v>AE Propensity Analysis- IT-LUP-2500004 Nefro</v>
      </c>
      <c r="H27" s="3" t="s">
        <v>16</v>
      </c>
      <c r="I27" s="2" t="str">
        <f t="shared" si="0"/>
        <v>Integration User</v>
      </c>
    </row>
    <row r="28" spans="1:9" x14ac:dyDescent="0.2">
      <c r="A28" s="2" t="str">
        <f>HYPERLINK("https://otsuka-europe-crm.veevavault.com/ui/#object/multichannel_activity__v/V9VZ025E8286WL9", "MCA-000023462")</f>
        <v>MCA-000023462</v>
      </c>
      <c r="B28" s="3" t="s">
        <v>9</v>
      </c>
      <c r="C28" s="2" t="str">
        <f>HYPERLINK("https://otsuka-europe-crm.veevavault.com/ui/#object/sent_email__v/VBLZ025E82CE6CH", "SE-000205855")</f>
        <v>SE-000205855</v>
      </c>
      <c r="D28" s="2" t="str">
        <f>HYPERLINK("https://otsuka-europe-crm.veevavault.com/ui/#object/user__sys/27667886", "Claudia Rondina")</f>
        <v>Claudia Rondina</v>
      </c>
      <c r="E28" s="2" t="str">
        <f>HYPERLINK("https://otsuka-europe-crm.veevavault.com/ui/#object/account__v/V4TZ06G6O71SAOQ", "MARCO GALLIANI")</f>
        <v>MARCO GALLIANI</v>
      </c>
      <c r="F28" s="4">
        <v>45742.457187499997</v>
      </c>
      <c r="G28" s="2" t="str">
        <f>HYPERLINK("https://otsuka-europe-crm.veevavault.com/ui/#object/approved_document__v/V5OZ025E82MA4MI", "AE Propensity Analysis- IT-LUP-2500004 Nefro")</f>
        <v>AE Propensity Analysis- IT-LUP-2500004 Nefro</v>
      </c>
      <c r="H28" s="3" t="s">
        <v>16</v>
      </c>
      <c r="I28" s="2" t="str">
        <f t="shared" si="0"/>
        <v>Integration User</v>
      </c>
    </row>
    <row r="29" spans="1:9" x14ac:dyDescent="0.2">
      <c r="A29" s="2" t="str">
        <f>HYPERLINK("https://otsuka-europe-crm.veevavault.com/ui/#object/multichannel_activity__v/V9VZ025E8286WO1", "MCA-000023463")</f>
        <v>MCA-000023463</v>
      </c>
      <c r="B29" s="3" t="s">
        <v>13</v>
      </c>
      <c r="C29" s="2" t="str">
        <f>HYPERLINK("https://otsuka-europe-crm.veevavault.com/ui/#object/sent_email__v/VBLZ025E82CE6CH", "SE-000205855")</f>
        <v>SE-000205855</v>
      </c>
      <c r="D29" s="2" t="str">
        <f>HYPERLINK("https://otsuka-europe-crm.veevavault.com/ui/#object/user__sys/27667886", "Claudia Rondina")</f>
        <v>Claudia Rondina</v>
      </c>
      <c r="E29" s="2" t="str">
        <f>HYPERLINK("https://otsuka-europe-crm.veevavault.com/ui/#object/account__v/V4TZ06G6O71SAOQ", "MARCO GALLIANI")</f>
        <v>MARCO GALLIANI</v>
      </c>
      <c r="F29" s="4">
        <v>45742.457187499997</v>
      </c>
      <c r="G29" s="2" t="str">
        <f>HYPERLINK("https://otsuka-europe-crm.veevavault.com/ui/#object/approved_document__v/V5OZ025E82MA4MI", "AE Propensity Analysis- IT-LUP-2500004 Nefro")</f>
        <v>AE Propensity Analysis- IT-LUP-2500004 Nefro</v>
      </c>
      <c r="H29" s="3" t="s">
        <v>16</v>
      </c>
      <c r="I29" s="2" t="str">
        <f t="shared" si="0"/>
        <v>Integration User</v>
      </c>
    </row>
    <row r="30" spans="1:9" x14ac:dyDescent="0.2">
      <c r="A30" s="2" t="str">
        <f>HYPERLINK("https://otsuka-europe-crm.veevavault.com/ui/#object/multichannel_activity__v/V9VZ025E82880SH", "MCA-000023569")</f>
        <v>MCA-000023569</v>
      </c>
      <c r="B30" s="3" t="s">
        <v>9</v>
      </c>
      <c r="C30" s="2" t="str">
        <f>HYPERLINK("https://otsuka-europe-crm.veevavault.com/ui/#object/sent_email__v/VBLZ025E82CI2MH", "SE-000206692")</f>
        <v>SE-000206692</v>
      </c>
      <c r="D30" s="2" t="str">
        <f>HYPERLINK("https://otsuka-europe-crm.veevavault.com/ui/#object/user__sys/27667820", "Miriam Bechagra")</f>
        <v>Miriam Bechagra</v>
      </c>
      <c r="E30" s="2" t="str">
        <f>HYPERLINK("https://otsuka-europe-crm.veevavault.com/ui/#object/account__v/V4TZ04ASGAZZGKV", "MARIA CIANCIULLI")</f>
        <v>MARIA CIANCIULLI</v>
      </c>
      <c r="F30" s="4">
        <v>45747.713796296295</v>
      </c>
      <c r="G30" s="2" t="str">
        <f>HYPERLINK("https://otsuka-europe-crm.veevavault.com/ui/#object/approved_document__v/V5OZ025E82MQEQD", "ABILIFY MAINTENA 960_Unbranded_AE GU_ IT-NPR-2500045")</f>
        <v>ABILIFY MAINTENA 960_Unbranded_AE GU_ IT-NPR-2500045</v>
      </c>
      <c r="H30" s="3" t="s">
        <v>17</v>
      </c>
      <c r="I30" s="2" t="str">
        <f t="shared" si="0"/>
        <v>Integration User</v>
      </c>
    </row>
    <row r="31" spans="1:9" x14ac:dyDescent="0.2">
      <c r="A31" s="2" t="str">
        <f>HYPERLINK("https://otsuka-europe-crm.veevavault.com/ui/#object/multichannel_activity__v/V9VZ025E82880Y1", "MCA-000023570")</f>
        <v>MCA-000023570</v>
      </c>
      <c r="B31" s="3" t="s">
        <v>9</v>
      </c>
      <c r="C31" s="2" t="str">
        <f>HYPERLINK("https://otsuka-europe-crm.veevavault.com/ui/#object/sent_email__v/VBLZ025E82CI2MH", "SE-000206692")</f>
        <v>SE-000206692</v>
      </c>
      <c r="D31" s="2" t="str">
        <f>HYPERLINK("https://otsuka-europe-crm.veevavault.com/ui/#object/user__sys/27667820", "Miriam Bechagra")</f>
        <v>Miriam Bechagra</v>
      </c>
      <c r="E31" s="2" t="str">
        <f>HYPERLINK("https://otsuka-europe-crm.veevavault.com/ui/#object/account__v/V4TZ04ASGAZZGKV", "MARIA CIANCIULLI")</f>
        <v>MARIA CIANCIULLI</v>
      </c>
      <c r="F31" s="4">
        <v>45747.713796296295</v>
      </c>
      <c r="G31" s="2" t="str">
        <f>HYPERLINK("https://otsuka-europe-crm.veevavault.com/ui/#object/approved_document__v/V5OZ025E82MQEQD", "ABILIFY MAINTENA 960_Unbranded_AE GU_ IT-NPR-2500045")</f>
        <v>ABILIFY MAINTENA 960_Unbranded_AE GU_ IT-NPR-2500045</v>
      </c>
      <c r="H31" s="3" t="s">
        <v>17</v>
      </c>
      <c r="I31" s="2" t="str">
        <f t="shared" si="0"/>
        <v>Integration User</v>
      </c>
    </row>
    <row r="32" spans="1:9" x14ac:dyDescent="0.2">
      <c r="A32" s="2" t="str">
        <f>HYPERLINK("https://otsuka-europe-crm.veevavault.com/ui/#object/multichannel_activity__v/V9VZ025E828AEZ9", "MCA-000023753")</f>
        <v>MCA-000023753</v>
      </c>
      <c r="B32" s="3" t="s">
        <v>9</v>
      </c>
      <c r="C32" s="2" t="str">
        <f>HYPERLINK("https://otsuka-europe-crm.veevavault.com/ui/#object/sent_email__v/VBLZ025E82COVLX", "SE-000209627")</f>
        <v>SE-000209627</v>
      </c>
      <c r="D32" s="2" t="str">
        <f>HYPERLINK("https://otsuka-europe-crm.veevavault.com/ui/#object/user__sys/27667930", "Giuseppe Curatola")</f>
        <v>Giuseppe Curatola</v>
      </c>
      <c r="E32" s="2" t="str">
        <f>HYPERLINK("https://otsuka-europe-crm.veevavault.com/ui/#object/account__v/V4TZ04ASGAZVNJ3", "MANUELA CRUCITTI")</f>
        <v>MANUELA CRUCITTI</v>
      </c>
      <c r="F32" s="4">
        <v>45756.637303240743</v>
      </c>
      <c r="G32" s="2" t="str">
        <f>HYPERLINK("https://otsuka-europe-crm.veevavault.com/ui/#object/approved_document__v/V5OZ025E82MQEQD", "ABILIFY MAINTENA 960_Unbranded_AE GU_ IT-NPR-2500045")</f>
        <v>ABILIFY MAINTENA 960_Unbranded_AE GU_ IT-NPR-2500045</v>
      </c>
      <c r="H32" s="3" t="s">
        <v>17</v>
      </c>
      <c r="I32" s="2" t="str">
        <f t="shared" si="0"/>
        <v>Integration User</v>
      </c>
    </row>
    <row r="33" spans="1:9" x14ac:dyDescent="0.2">
      <c r="A33" s="2" t="str">
        <f>HYPERLINK("https://otsuka-europe-crm.veevavault.com/ui/#object/multichannel_activity__v/V9VZ025E828AO31", "MCA-000023774")</f>
        <v>MCA-000023774</v>
      </c>
      <c r="B33" s="3" t="s">
        <v>9</v>
      </c>
      <c r="C33" s="2" t="str">
        <f>HYPERLINK("https://otsuka-europe-crm.veevavault.com/ui/#object/sent_email__v/VBLZ025E82CPM89", "SE-000209817")</f>
        <v>SE-000209817</v>
      </c>
      <c r="D33" s="2" t="str">
        <f t="shared" ref="D33:D64" si="5">HYPERLINK("https://otsuka-europe-crm.veevavault.com/ui/#object/user__sys/27667800", "Gianpaolo Fichera")</f>
        <v>Gianpaolo Fichera</v>
      </c>
      <c r="E33" s="2" t="str">
        <f>HYPERLINK("https://otsuka-europe-crm.veevavault.com/ui/#object/account__v/V4TZ025E82WRPG6", "ANDREA MADARO")</f>
        <v>ANDREA MADARO</v>
      </c>
      <c r="F33" s="4">
        <v>45757.498935185184</v>
      </c>
      <c r="G33" s="2" t="str">
        <f t="shared" ref="G33:G44" si="6">HYPERLINK("https://otsuka-europe-crm.veevavault.com/ui/#object/approved_document__v/V5OZ025E82N7BDI", "IT-AM2-2400012 - Abilify 960 lancio_v2")</f>
        <v>IT-AM2-2400012 - Abilify 960 lancio_v2</v>
      </c>
      <c r="H33" s="3" t="s">
        <v>11</v>
      </c>
      <c r="I33" s="2" t="str">
        <f t="shared" si="0"/>
        <v>Integration User</v>
      </c>
    </row>
    <row r="34" spans="1:9" x14ac:dyDescent="0.2">
      <c r="A34" s="2" t="str">
        <f>HYPERLINK("https://otsuka-europe-crm.veevavault.com/ui/#object/multichannel_activity__v/V9VZ025E828AO5T", "MCA-000023775")</f>
        <v>MCA-000023775</v>
      </c>
      <c r="B34" s="3" t="s">
        <v>9</v>
      </c>
      <c r="C34" s="2" t="str">
        <f>HYPERLINK("https://otsuka-europe-crm.veevavault.com/ui/#object/sent_email__v/VBLZ025E82CPM89", "SE-000209817")</f>
        <v>SE-000209817</v>
      </c>
      <c r="D34" s="2" t="str">
        <f t="shared" si="5"/>
        <v>Gianpaolo Fichera</v>
      </c>
      <c r="E34" s="2" t="str">
        <f>HYPERLINK("https://otsuka-europe-crm.veevavault.com/ui/#object/account__v/V4TZ025E82WRPG6", "ANDREA MADARO")</f>
        <v>ANDREA MADARO</v>
      </c>
      <c r="F34" s="4">
        <v>45757.498935185184</v>
      </c>
      <c r="G34" s="2" t="str">
        <f t="shared" si="6"/>
        <v>IT-AM2-2400012 - Abilify 960 lancio_v2</v>
      </c>
      <c r="H34" s="3" t="s">
        <v>11</v>
      </c>
      <c r="I34" s="2" t="str">
        <f t="shared" si="0"/>
        <v>Integration User</v>
      </c>
    </row>
    <row r="35" spans="1:9" x14ac:dyDescent="0.2">
      <c r="A35" s="2" t="str">
        <f>HYPERLINK("https://otsuka-europe-crm.veevavault.com/ui/#object/multichannel_activity__v/V9VZ025E828AO8L", "MCA-000023776")</f>
        <v>MCA-000023776</v>
      </c>
      <c r="B35" s="3" t="s">
        <v>9</v>
      </c>
      <c r="C35" s="2" t="str">
        <f>HYPERLINK("https://otsuka-europe-crm.veevavault.com/ui/#object/sent_email__v/VBLZ025E82CPM89", "SE-000209817")</f>
        <v>SE-000209817</v>
      </c>
      <c r="D35" s="2" t="str">
        <f t="shared" si="5"/>
        <v>Gianpaolo Fichera</v>
      </c>
      <c r="E35" s="2" t="str">
        <f>HYPERLINK("https://otsuka-europe-crm.veevavault.com/ui/#object/account__v/V4TZ025E82WRPG6", "ANDREA MADARO")</f>
        <v>ANDREA MADARO</v>
      </c>
      <c r="F35" s="4">
        <v>45757.498935185184</v>
      </c>
      <c r="G35" s="2" t="str">
        <f t="shared" si="6"/>
        <v>IT-AM2-2400012 - Abilify 960 lancio_v2</v>
      </c>
      <c r="H35" s="3" t="s">
        <v>11</v>
      </c>
      <c r="I35" s="2" t="str">
        <f t="shared" si="0"/>
        <v>Integration User</v>
      </c>
    </row>
    <row r="36" spans="1:9" x14ac:dyDescent="0.2">
      <c r="A36" s="2" t="str">
        <f>HYPERLINK("https://otsuka-europe-crm.veevavault.com/ui/#object/multichannel_activity__v/V9VZ025E828AOBD", "MCA-000023777")</f>
        <v>MCA-000023777</v>
      </c>
      <c r="B36" s="3" t="s">
        <v>9</v>
      </c>
      <c r="C36" s="2" t="str">
        <f>HYPERLINK("https://otsuka-europe-crm.veevavault.com/ui/#object/sent_email__v/VBLZ025E82CPM89", "SE-000209817")</f>
        <v>SE-000209817</v>
      </c>
      <c r="D36" s="2" t="str">
        <f t="shared" si="5"/>
        <v>Gianpaolo Fichera</v>
      </c>
      <c r="E36" s="2" t="str">
        <f>HYPERLINK("https://otsuka-europe-crm.veevavault.com/ui/#object/account__v/V4TZ025E82WRPG6", "ANDREA MADARO")</f>
        <v>ANDREA MADARO</v>
      </c>
      <c r="F36" s="4">
        <v>45757.498935185184</v>
      </c>
      <c r="G36" s="2" t="str">
        <f t="shared" si="6"/>
        <v>IT-AM2-2400012 - Abilify 960 lancio_v2</v>
      </c>
      <c r="H36" s="3" t="s">
        <v>11</v>
      </c>
      <c r="I36" s="2" t="str">
        <f t="shared" si="0"/>
        <v>Integration User</v>
      </c>
    </row>
    <row r="37" spans="1:9" x14ac:dyDescent="0.2">
      <c r="A37" s="2" t="str">
        <f>HYPERLINK("https://otsuka-europe-crm.veevavault.com/ui/#object/multichannel_activity__v/V9VZ025E828ANUQ", "MCA-000023778")</f>
        <v>MCA-000023778</v>
      </c>
      <c r="B37" s="3" t="s">
        <v>9</v>
      </c>
      <c r="C37" s="2" t="str">
        <f t="shared" ref="C37:C44" si="7">HYPERLINK("https://otsuka-europe-crm.veevavault.com/ui/#object/sent_email__v/VBLZ025E82CPK82", "SE-000209818")</f>
        <v>SE-000209818</v>
      </c>
      <c r="D37" s="2" t="str">
        <f t="shared" si="5"/>
        <v>Gianpaolo Fichera</v>
      </c>
      <c r="E37" s="2" t="str">
        <f t="shared" ref="E37:E44" si="8">HYPERLINK("https://otsuka-europe-crm.veevavault.com/ui/#object/account__v/V4TZ04ASGCDGAED", "CECILIA GRIMALDI")</f>
        <v>CECILIA GRIMALDI</v>
      </c>
      <c r="F37" s="4">
        <v>45757.499363425923</v>
      </c>
      <c r="G37" s="2" t="str">
        <f t="shared" si="6"/>
        <v>IT-AM2-2400012 - Abilify 960 lancio_v2</v>
      </c>
      <c r="H37" s="3" t="s">
        <v>11</v>
      </c>
      <c r="I37" s="2" t="str">
        <f t="shared" si="0"/>
        <v>Integration User</v>
      </c>
    </row>
    <row r="38" spans="1:9" x14ac:dyDescent="0.2">
      <c r="A38" s="2" t="str">
        <f>HYPERLINK("https://otsuka-europe-crm.veevavault.com/ui/#object/multichannel_activity__v/V9VZ025E828AOE5", "MCA-000023779")</f>
        <v>MCA-000023779</v>
      </c>
      <c r="B38" s="3" t="s">
        <v>13</v>
      </c>
      <c r="C38" s="2" t="str">
        <f t="shared" si="7"/>
        <v>SE-000209818</v>
      </c>
      <c r="D38" s="2" t="str">
        <f t="shared" si="5"/>
        <v>Gianpaolo Fichera</v>
      </c>
      <c r="E38" s="2" t="str">
        <f t="shared" si="8"/>
        <v>CECILIA GRIMALDI</v>
      </c>
      <c r="F38" s="4">
        <v>45757.499363425923</v>
      </c>
      <c r="G38" s="2" t="str">
        <f t="shared" si="6"/>
        <v>IT-AM2-2400012 - Abilify 960 lancio_v2</v>
      </c>
      <c r="H38" s="3" t="s">
        <v>11</v>
      </c>
      <c r="I38" s="2" t="str">
        <f t="shared" si="0"/>
        <v>Integration User</v>
      </c>
    </row>
    <row r="39" spans="1:9" x14ac:dyDescent="0.2">
      <c r="A39" s="2" t="str">
        <f>HYPERLINK("https://otsuka-europe-crm.veevavault.com/ui/#object/multichannel_activity__v/V9VZ025E828ANUR", "MCA-000023780")</f>
        <v>MCA-000023780</v>
      </c>
      <c r="B39" s="3" t="s">
        <v>9</v>
      </c>
      <c r="C39" s="2" t="str">
        <f t="shared" si="7"/>
        <v>SE-000209818</v>
      </c>
      <c r="D39" s="2" t="str">
        <f t="shared" si="5"/>
        <v>Gianpaolo Fichera</v>
      </c>
      <c r="E39" s="2" t="str">
        <f t="shared" si="8"/>
        <v>CECILIA GRIMALDI</v>
      </c>
      <c r="F39" s="4">
        <v>45757.499363425923</v>
      </c>
      <c r="G39" s="2" t="str">
        <f t="shared" si="6"/>
        <v>IT-AM2-2400012 - Abilify 960 lancio_v2</v>
      </c>
      <c r="H39" s="3" t="s">
        <v>11</v>
      </c>
      <c r="I39" s="2" t="str">
        <f t="shared" si="0"/>
        <v>Integration User</v>
      </c>
    </row>
    <row r="40" spans="1:9" x14ac:dyDescent="0.2">
      <c r="A40" s="2" t="str">
        <f>HYPERLINK("https://otsuka-europe-crm.veevavault.com/ui/#object/multichannel_activity__v/V9VZ025E828AOGX", "MCA-000023781")</f>
        <v>MCA-000023781</v>
      </c>
      <c r="B40" s="3" t="s">
        <v>13</v>
      </c>
      <c r="C40" s="2" t="str">
        <f t="shared" si="7"/>
        <v>SE-000209818</v>
      </c>
      <c r="D40" s="2" t="str">
        <f t="shared" si="5"/>
        <v>Gianpaolo Fichera</v>
      </c>
      <c r="E40" s="2" t="str">
        <f t="shared" si="8"/>
        <v>CECILIA GRIMALDI</v>
      </c>
      <c r="F40" s="4">
        <v>45757.499363425923</v>
      </c>
      <c r="G40" s="2" t="str">
        <f t="shared" si="6"/>
        <v>IT-AM2-2400012 - Abilify 960 lancio_v2</v>
      </c>
      <c r="H40" s="3" t="s">
        <v>11</v>
      </c>
      <c r="I40" s="2" t="str">
        <f t="shared" si="0"/>
        <v>Integration User</v>
      </c>
    </row>
    <row r="41" spans="1:9" x14ac:dyDescent="0.2">
      <c r="A41" s="2" t="str">
        <f>HYPERLINK("https://otsuka-europe-crm.veevavault.com/ui/#object/multichannel_activity__v/V9VZ025E828AMP2", "MCA-000023782")</f>
        <v>MCA-000023782</v>
      </c>
      <c r="B41" s="3" t="s">
        <v>13</v>
      </c>
      <c r="C41" s="2" t="str">
        <f t="shared" si="7"/>
        <v>SE-000209818</v>
      </c>
      <c r="D41" s="2" t="str">
        <f t="shared" si="5"/>
        <v>Gianpaolo Fichera</v>
      </c>
      <c r="E41" s="2" t="str">
        <f t="shared" si="8"/>
        <v>CECILIA GRIMALDI</v>
      </c>
      <c r="F41" s="4">
        <v>45757.499363425923</v>
      </c>
      <c r="G41" s="2" t="str">
        <f t="shared" si="6"/>
        <v>IT-AM2-2400012 - Abilify 960 lancio_v2</v>
      </c>
      <c r="H41" s="3" t="s">
        <v>11</v>
      </c>
      <c r="I41" s="2" t="str">
        <f t="shared" si="0"/>
        <v>Integration User</v>
      </c>
    </row>
    <row r="42" spans="1:9" x14ac:dyDescent="0.2">
      <c r="A42" s="2" t="str">
        <f>HYPERLINK("https://otsuka-europe-crm.veevavault.com/ui/#object/multichannel_activity__v/V9VZ025E828AOJP", "MCA-000023783")</f>
        <v>MCA-000023783</v>
      </c>
      <c r="B42" s="3" t="s">
        <v>13</v>
      </c>
      <c r="C42" s="2" t="str">
        <f t="shared" si="7"/>
        <v>SE-000209818</v>
      </c>
      <c r="D42" s="2" t="str">
        <f t="shared" si="5"/>
        <v>Gianpaolo Fichera</v>
      </c>
      <c r="E42" s="2" t="str">
        <f t="shared" si="8"/>
        <v>CECILIA GRIMALDI</v>
      </c>
      <c r="F42" s="4">
        <v>45757.499363425923</v>
      </c>
      <c r="G42" s="2" t="str">
        <f t="shared" si="6"/>
        <v>IT-AM2-2400012 - Abilify 960 lancio_v2</v>
      </c>
      <c r="H42" s="3" t="s">
        <v>11</v>
      </c>
      <c r="I42" s="2" t="str">
        <f t="shared" si="0"/>
        <v>Integration User</v>
      </c>
    </row>
    <row r="43" spans="1:9" x14ac:dyDescent="0.2">
      <c r="A43" s="2" t="str">
        <f>HYPERLINK("https://otsuka-europe-crm.veevavault.com/ui/#object/multichannel_activity__v/V9VZ025E828AOMH", "MCA-000023784")</f>
        <v>MCA-000023784</v>
      </c>
      <c r="B43" s="3" t="s">
        <v>9</v>
      </c>
      <c r="C43" s="2" t="str">
        <f t="shared" si="7"/>
        <v>SE-000209818</v>
      </c>
      <c r="D43" s="2" t="str">
        <f t="shared" si="5"/>
        <v>Gianpaolo Fichera</v>
      </c>
      <c r="E43" s="2" t="str">
        <f t="shared" si="8"/>
        <v>CECILIA GRIMALDI</v>
      </c>
      <c r="F43" s="4">
        <v>45757.499363425923</v>
      </c>
      <c r="G43" s="2" t="str">
        <f t="shared" si="6"/>
        <v>IT-AM2-2400012 - Abilify 960 lancio_v2</v>
      </c>
      <c r="H43" s="3" t="s">
        <v>11</v>
      </c>
      <c r="I43" s="2" t="str">
        <f t="shared" si="0"/>
        <v>Integration User</v>
      </c>
    </row>
    <row r="44" spans="1:9" x14ac:dyDescent="0.2">
      <c r="A44" s="2" t="str">
        <f>HYPERLINK("https://otsuka-europe-crm.veevavault.com/ui/#object/multichannel_activity__v/V9VZ025E828AOP9", "MCA-000023785")</f>
        <v>MCA-000023785</v>
      </c>
      <c r="B44" s="3" t="s">
        <v>9</v>
      </c>
      <c r="C44" s="2" t="str">
        <f t="shared" si="7"/>
        <v>SE-000209818</v>
      </c>
      <c r="D44" s="2" t="str">
        <f t="shared" si="5"/>
        <v>Gianpaolo Fichera</v>
      </c>
      <c r="E44" s="2" t="str">
        <f t="shared" si="8"/>
        <v>CECILIA GRIMALDI</v>
      </c>
      <c r="F44" s="4">
        <v>45757.499363425923</v>
      </c>
      <c r="G44" s="2" t="str">
        <f t="shared" si="6"/>
        <v>IT-AM2-2400012 - Abilify 960 lancio_v2</v>
      </c>
      <c r="H44" s="3" t="s">
        <v>11</v>
      </c>
      <c r="I44" s="2" t="str">
        <f t="shared" si="0"/>
        <v>Integration User</v>
      </c>
    </row>
    <row r="45" spans="1:9" x14ac:dyDescent="0.2">
      <c r="A45" s="2" t="str">
        <f>HYPERLINK("https://otsuka-europe-crm.veevavault.com/ui/#object/multichannel_activity__v/V9VZ025E828APML", "MCA-000023787")</f>
        <v>MCA-000023787</v>
      </c>
      <c r="B45" s="3" t="s">
        <v>9</v>
      </c>
      <c r="C45" s="2" t="str">
        <f t="shared" ref="C45:C52" si="9">HYPERLINK("https://otsuka-europe-crm.veevavault.com/ui/#object/sent_email__v/VBLZ025E82CPMOX", "SE-000209822")</f>
        <v>SE-000209822</v>
      </c>
      <c r="D45" s="2" t="str">
        <f t="shared" si="5"/>
        <v>Gianpaolo Fichera</v>
      </c>
      <c r="E45" s="2" t="str">
        <f t="shared" ref="E45:E52" si="10">HYPERLINK("https://otsuka-europe-crm.veevavault.com/ui/#object/account__v/V4TZ04ASGBCISJ5", "CHIARA PICCO")</f>
        <v>CHIARA PICCO</v>
      </c>
      <c r="F45" s="4">
        <v>45757.503194444442</v>
      </c>
      <c r="G45" s="2" t="str">
        <f t="shared" ref="G45:G52" si="11">HYPERLINK("https://otsuka-europe-crm.veevavault.com/ui/#object/approved_document__v/V5OZ025E82LFEU1", "AE 1 NEW affinità recettoriale, PANSS e Impulsività")</f>
        <v>AE 1 NEW affinità recettoriale, PANSS e Impulsività</v>
      </c>
      <c r="H45" s="3" t="s">
        <v>15</v>
      </c>
      <c r="I45" s="2" t="str">
        <f t="shared" si="0"/>
        <v>Integration User</v>
      </c>
    </row>
    <row r="46" spans="1:9" x14ac:dyDescent="0.2">
      <c r="A46" s="2" t="str">
        <f>HYPERLINK("https://otsuka-europe-crm.veevavault.com/ui/#object/multichannel_activity__v/V9VZ025E828APPD", "MCA-000023788")</f>
        <v>MCA-000023788</v>
      </c>
      <c r="B46" s="3" t="s">
        <v>9</v>
      </c>
      <c r="C46" s="2" t="str">
        <f t="shared" si="9"/>
        <v>SE-000209822</v>
      </c>
      <c r="D46" s="2" t="str">
        <f t="shared" si="5"/>
        <v>Gianpaolo Fichera</v>
      </c>
      <c r="E46" s="2" t="str">
        <f t="shared" si="10"/>
        <v>CHIARA PICCO</v>
      </c>
      <c r="F46" s="4">
        <v>45757.503194444442</v>
      </c>
      <c r="G46" s="2" t="str">
        <f t="shared" si="11"/>
        <v>AE 1 NEW affinità recettoriale, PANSS e Impulsività</v>
      </c>
      <c r="H46" s="3" t="s">
        <v>15</v>
      </c>
      <c r="I46" s="2" t="str">
        <f t="shared" si="0"/>
        <v>Integration User</v>
      </c>
    </row>
    <row r="47" spans="1:9" x14ac:dyDescent="0.2">
      <c r="A47" s="2" t="str">
        <f>HYPERLINK("https://otsuka-europe-crm.veevavault.com/ui/#object/multichannel_activity__v/V9VZ025E828APS5", "MCA-000023789")</f>
        <v>MCA-000023789</v>
      </c>
      <c r="B47" s="3" t="s">
        <v>13</v>
      </c>
      <c r="C47" s="2" t="str">
        <f t="shared" si="9"/>
        <v>SE-000209822</v>
      </c>
      <c r="D47" s="2" t="str">
        <f t="shared" si="5"/>
        <v>Gianpaolo Fichera</v>
      </c>
      <c r="E47" s="2" t="str">
        <f t="shared" si="10"/>
        <v>CHIARA PICCO</v>
      </c>
      <c r="F47" s="4">
        <v>45757.503194444442</v>
      </c>
      <c r="G47" s="2" t="str">
        <f t="shared" si="11"/>
        <v>AE 1 NEW affinità recettoriale, PANSS e Impulsività</v>
      </c>
      <c r="H47" s="3" t="s">
        <v>15</v>
      </c>
      <c r="I47" s="2" t="str">
        <f t="shared" si="0"/>
        <v>Integration User</v>
      </c>
    </row>
    <row r="48" spans="1:9" x14ac:dyDescent="0.2">
      <c r="A48" s="2" t="str">
        <f>HYPERLINK("https://otsuka-europe-crm.veevavault.com/ui/#object/multichannel_activity__v/V9VZ025E828APUX", "MCA-000023790")</f>
        <v>MCA-000023790</v>
      </c>
      <c r="B48" s="3" t="s">
        <v>13</v>
      </c>
      <c r="C48" s="2" t="str">
        <f t="shared" si="9"/>
        <v>SE-000209822</v>
      </c>
      <c r="D48" s="2" t="str">
        <f t="shared" si="5"/>
        <v>Gianpaolo Fichera</v>
      </c>
      <c r="E48" s="2" t="str">
        <f t="shared" si="10"/>
        <v>CHIARA PICCO</v>
      </c>
      <c r="F48" s="4">
        <v>45757.503194444442</v>
      </c>
      <c r="G48" s="2" t="str">
        <f t="shared" si="11"/>
        <v>AE 1 NEW affinità recettoriale, PANSS e Impulsività</v>
      </c>
      <c r="H48" s="3" t="s">
        <v>15</v>
      </c>
      <c r="I48" s="2" t="str">
        <f t="shared" si="0"/>
        <v>Integration User</v>
      </c>
    </row>
    <row r="49" spans="1:9" x14ac:dyDescent="0.2">
      <c r="A49" s="2" t="str">
        <f>HYPERLINK("https://otsuka-europe-crm.veevavault.com/ui/#object/multichannel_activity__v/V9VZ025E828APXP", "MCA-000023791")</f>
        <v>MCA-000023791</v>
      </c>
      <c r="B49" s="3" t="s">
        <v>9</v>
      </c>
      <c r="C49" s="2" t="str">
        <f t="shared" si="9"/>
        <v>SE-000209822</v>
      </c>
      <c r="D49" s="2" t="str">
        <f t="shared" si="5"/>
        <v>Gianpaolo Fichera</v>
      </c>
      <c r="E49" s="2" t="str">
        <f t="shared" si="10"/>
        <v>CHIARA PICCO</v>
      </c>
      <c r="F49" s="4">
        <v>45757.503194444442</v>
      </c>
      <c r="G49" s="2" t="str">
        <f t="shared" si="11"/>
        <v>AE 1 NEW affinità recettoriale, PANSS e Impulsività</v>
      </c>
      <c r="H49" s="3" t="s">
        <v>15</v>
      </c>
      <c r="I49" s="2" t="str">
        <f t="shared" si="0"/>
        <v>Integration User</v>
      </c>
    </row>
    <row r="50" spans="1:9" x14ac:dyDescent="0.2">
      <c r="A50" s="2" t="str">
        <f>HYPERLINK("https://otsuka-europe-crm.veevavault.com/ui/#object/multichannel_activity__v/V9VZ025E828AQ0H", "MCA-000023792")</f>
        <v>MCA-000023792</v>
      </c>
      <c r="B50" s="3" t="s">
        <v>9</v>
      </c>
      <c r="C50" s="2" t="str">
        <f t="shared" si="9"/>
        <v>SE-000209822</v>
      </c>
      <c r="D50" s="2" t="str">
        <f t="shared" si="5"/>
        <v>Gianpaolo Fichera</v>
      </c>
      <c r="E50" s="2" t="str">
        <f t="shared" si="10"/>
        <v>CHIARA PICCO</v>
      </c>
      <c r="F50" s="4">
        <v>45757.503194444442</v>
      </c>
      <c r="G50" s="2" t="str">
        <f t="shared" si="11"/>
        <v>AE 1 NEW affinità recettoriale, PANSS e Impulsività</v>
      </c>
      <c r="H50" s="3" t="s">
        <v>15</v>
      </c>
      <c r="I50" s="2" t="str">
        <f t="shared" si="0"/>
        <v>Integration User</v>
      </c>
    </row>
    <row r="51" spans="1:9" x14ac:dyDescent="0.2">
      <c r="A51" s="2" t="str">
        <f>HYPERLINK("https://otsuka-europe-crm.veevavault.com/ui/#object/multichannel_activity__v/V9VZ025E828AQ39", "MCA-000023793")</f>
        <v>MCA-000023793</v>
      </c>
      <c r="B51" s="3" t="s">
        <v>13</v>
      </c>
      <c r="C51" s="2" t="str">
        <f t="shared" si="9"/>
        <v>SE-000209822</v>
      </c>
      <c r="D51" s="2" t="str">
        <f t="shared" si="5"/>
        <v>Gianpaolo Fichera</v>
      </c>
      <c r="E51" s="2" t="str">
        <f t="shared" si="10"/>
        <v>CHIARA PICCO</v>
      </c>
      <c r="F51" s="4">
        <v>45757.503194444442</v>
      </c>
      <c r="G51" s="2" t="str">
        <f t="shared" si="11"/>
        <v>AE 1 NEW affinità recettoriale, PANSS e Impulsività</v>
      </c>
      <c r="H51" s="3" t="s">
        <v>15</v>
      </c>
      <c r="I51" s="2" t="str">
        <f t="shared" si="0"/>
        <v>Integration User</v>
      </c>
    </row>
    <row r="52" spans="1:9" x14ac:dyDescent="0.2">
      <c r="A52" s="2" t="str">
        <f>HYPERLINK("https://otsuka-europe-crm.veevavault.com/ui/#object/multichannel_activity__v/V9VZ025E828AQ61", "MCA-000023794")</f>
        <v>MCA-000023794</v>
      </c>
      <c r="B52" s="3" t="s">
        <v>13</v>
      </c>
      <c r="C52" s="2" t="str">
        <f t="shared" si="9"/>
        <v>SE-000209822</v>
      </c>
      <c r="D52" s="2" t="str">
        <f t="shared" si="5"/>
        <v>Gianpaolo Fichera</v>
      </c>
      <c r="E52" s="2" t="str">
        <f t="shared" si="10"/>
        <v>CHIARA PICCO</v>
      </c>
      <c r="F52" s="4">
        <v>45757.503194444442</v>
      </c>
      <c r="G52" s="2" t="str">
        <f t="shared" si="11"/>
        <v>AE 1 NEW affinità recettoriale, PANSS e Impulsività</v>
      </c>
      <c r="H52" s="3" t="s">
        <v>15</v>
      </c>
      <c r="I52" s="2" t="str">
        <f t="shared" si="0"/>
        <v>Integration User</v>
      </c>
    </row>
    <row r="53" spans="1:9" x14ac:dyDescent="0.2">
      <c r="A53" s="2" t="str">
        <f>HYPERLINK("https://otsuka-europe-crm.veevavault.com/ui/#object/multichannel_activity__v/V9VZ025E828AQ0I", "MCA-000023795")</f>
        <v>MCA-000023795</v>
      </c>
      <c r="B53" s="3" t="s">
        <v>13</v>
      </c>
      <c r="C53" s="2" t="str">
        <f t="shared" ref="C53:C60" si="12">HYPERLINK("https://otsuka-europe-crm.veevavault.com/ui/#object/sent_email__v/VBLZ025E82CPN8D", "SE-000209827")</f>
        <v>SE-000209827</v>
      </c>
      <c r="D53" s="2" t="str">
        <f t="shared" si="5"/>
        <v>Gianpaolo Fichera</v>
      </c>
      <c r="E53" s="2" t="str">
        <f t="shared" ref="E53:E60" si="13">HYPERLINK("https://otsuka-europe-crm.veevavault.com/ui/#object/account__v/V4TZ04ASGCDG9PP", "MAURIZIO MAVARACCHIO")</f>
        <v>MAURIZIO MAVARACCHIO</v>
      </c>
      <c r="F53" s="4">
        <v>45757.506747685184</v>
      </c>
      <c r="G53" s="2" t="str">
        <f t="shared" ref="G53:G64" si="14">HYPERLINK("https://otsuka-europe-crm.veevavault.com/ui/#object/approved_document__v/V5OZ025E82N7BDI", "IT-AM2-2400012 - Abilify 960 lancio_v2")</f>
        <v>IT-AM2-2400012 - Abilify 960 lancio_v2</v>
      </c>
      <c r="H53" s="3" t="s">
        <v>11</v>
      </c>
      <c r="I53" s="2" t="str">
        <f t="shared" si="0"/>
        <v>Integration User</v>
      </c>
    </row>
    <row r="54" spans="1:9" x14ac:dyDescent="0.2">
      <c r="A54" s="2" t="str">
        <f>HYPERLINK("https://otsuka-europe-crm.veevavault.com/ui/#object/multichannel_activity__v/V9VZ025E828AOBE", "MCA-000023796")</f>
        <v>MCA-000023796</v>
      </c>
      <c r="B54" s="3" t="s">
        <v>9</v>
      </c>
      <c r="C54" s="2" t="str">
        <f t="shared" si="12"/>
        <v>SE-000209827</v>
      </c>
      <c r="D54" s="2" t="str">
        <f t="shared" si="5"/>
        <v>Gianpaolo Fichera</v>
      </c>
      <c r="E54" s="2" t="str">
        <f t="shared" si="13"/>
        <v>MAURIZIO MAVARACCHIO</v>
      </c>
      <c r="F54" s="4">
        <v>45757.506747685184</v>
      </c>
      <c r="G54" s="2" t="str">
        <f t="shared" si="14"/>
        <v>IT-AM2-2400012 - Abilify 960 lancio_v2</v>
      </c>
      <c r="H54" s="3" t="s">
        <v>11</v>
      </c>
      <c r="I54" s="2" t="str">
        <f t="shared" si="0"/>
        <v>Integration User</v>
      </c>
    </row>
    <row r="55" spans="1:9" x14ac:dyDescent="0.2">
      <c r="A55" s="2" t="str">
        <f>HYPERLINK("https://otsuka-europe-crm.veevavault.com/ui/#object/multichannel_activity__v/V9VZ025E828AQBL", "MCA-000023797")</f>
        <v>MCA-000023797</v>
      </c>
      <c r="B55" s="3" t="s">
        <v>13</v>
      </c>
      <c r="C55" s="2" t="str">
        <f t="shared" si="12"/>
        <v>SE-000209827</v>
      </c>
      <c r="D55" s="2" t="str">
        <f t="shared" si="5"/>
        <v>Gianpaolo Fichera</v>
      </c>
      <c r="E55" s="2" t="str">
        <f t="shared" si="13"/>
        <v>MAURIZIO MAVARACCHIO</v>
      </c>
      <c r="F55" s="4">
        <v>45757.506747685184</v>
      </c>
      <c r="G55" s="2" t="str">
        <f t="shared" si="14"/>
        <v>IT-AM2-2400012 - Abilify 960 lancio_v2</v>
      </c>
      <c r="H55" s="3" t="s">
        <v>11</v>
      </c>
      <c r="I55" s="2" t="str">
        <f t="shared" si="0"/>
        <v>Integration User</v>
      </c>
    </row>
    <row r="56" spans="1:9" x14ac:dyDescent="0.2">
      <c r="A56" s="2" t="str">
        <f>HYPERLINK("https://otsuka-europe-crm.veevavault.com/ui/#object/multichannel_activity__v/V9VZ025E828AQED", "MCA-000023798")</f>
        <v>MCA-000023798</v>
      </c>
      <c r="B56" s="3" t="s">
        <v>9</v>
      </c>
      <c r="C56" s="2" t="str">
        <f t="shared" si="12"/>
        <v>SE-000209827</v>
      </c>
      <c r="D56" s="2" t="str">
        <f t="shared" si="5"/>
        <v>Gianpaolo Fichera</v>
      </c>
      <c r="E56" s="2" t="str">
        <f t="shared" si="13"/>
        <v>MAURIZIO MAVARACCHIO</v>
      </c>
      <c r="F56" s="4">
        <v>45757.506747685184</v>
      </c>
      <c r="G56" s="2" t="str">
        <f t="shared" si="14"/>
        <v>IT-AM2-2400012 - Abilify 960 lancio_v2</v>
      </c>
      <c r="H56" s="3" t="s">
        <v>11</v>
      </c>
      <c r="I56" s="2" t="str">
        <f t="shared" si="0"/>
        <v>Integration User</v>
      </c>
    </row>
    <row r="57" spans="1:9" x14ac:dyDescent="0.2">
      <c r="A57" s="2" t="str">
        <f>HYPERLINK("https://otsuka-europe-crm.veevavault.com/ui/#object/multichannel_activity__v/V9VZ025E828AQH5", "MCA-000023799")</f>
        <v>MCA-000023799</v>
      </c>
      <c r="B57" s="3" t="s">
        <v>13</v>
      </c>
      <c r="C57" s="2" t="str">
        <f t="shared" si="12"/>
        <v>SE-000209827</v>
      </c>
      <c r="D57" s="2" t="str">
        <f t="shared" si="5"/>
        <v>Gianpaolo Fichera</v>
      </c>
      <c r="E57" s="2" t="str">
        <f t="shared" si="13"/>
        <v>MAURIZIO MAVARACCHIO</v>
      </c>
      <c r="F57" s="4">
        <v>45757.506747685184</v>
      </c>
      <c r="G57" s="2" t="str">
        <f t="shared" si="14"/>
        <v>IT-AM2-2400012 - Abilify 960 lancio_v2</v>
      </c>
      <c r="H57" s="3" t="s">
        <v>11</v>
      </c>
      <c r="I57" s="2" t="str">
        <f t="shared" si="0"/>
        <v>Integration User</v>
      </c>
    </row>
    <row r="58" spans="1:9" x14ac:dyDescent="0.2">
      <c r="A58" s="2" t="str">
        <f>HYPERLINK("https://otsuka-europe-crm.veevavault.com/ui/#object/multichannel_activity__v/V9VZ025E828AQJX", "MCA-000023800")</f>
        <v>MCA-000023800</v>
      </c>
      <c r="B58" s="3" t="s">
        <v>13</v>
      </c>
      <c r="C58" s="2" t="str">
        <f t="shared" si="12"/>
        <v>SE-000209827</v>
      </c>
      <c r="D58" s="2" t="str">
        <f t="shared" si="5"/>
        <v>Gianpaolo Fichera</v>
      </c>
      <c r="E58" s="2" t="str">
        <f t="shared" si="13"/>
        <v>MAURIZIO MAVARACCHIO</v>
      </c>
      <c r="F58" s="4">
        <v>45757.506747685184</v>
      </c>
      <c r="G58" s="2" t="str">
        <f t="shared" si="14"/>
        <v>IT-AM2-2400012 - Abilify 960 lancio_v2</v>
      </c>
      <c r="H58" s="3" t="s">
        <v>11</v>
      </c>
      <c r="I58" s="2" t="str">
        <f t="shared" si="0"/>
        <v>Integration User</v>
      </c>
    </row>
    <row r="59" spans="1:9" x14ac:dyDescent="0.2">
      <c r="A59" s="2" t="str">
        <f>HYPERLINK("https://otsuka-europe-crm.veevavault.com/ui/#object/multichannel_activity__v/V9VZ025E828AQMP", "MCA-000023801")</f>
        <v>MCA-000023801</v>
      </c>
      <c r="B59" s="3" t="s">
        <v>9</v>
      </c>
      <c r="C59" s="2" t="str">
        <f t="shared" si="12"/>
        <v>SE-000209827</v>
      </c>
      <c r="D59" s="2" t="str">
        <f t="shared" si="5"/>
        <v>Gianpaolo Fichera</v>
      </c>
      <c r="E59" s="2" t="str">
        <f t="shared" si="13"/>
        <v>MAURIZIO MAVARACCHIO</v>
      </c>
      <c r="F59" s="4">
        <v>45757.506747685184</v>
      </c>
      <c r="G59" s="2" t="str">
        <f t="shared" si="14"/>
        <v>IT-AM2-2400012 - Abilify 960 lancio_v2</v>
      </c>
      <c r="H59" s="3" t="s">
        <v>11</v>
      </c>
      <c r="I59" s="2" t="str">
        <f t="shared" si="0"/>
        <v>Integration User</v>
      </c>
    </row>
    <row r="60" spans="1:9" x14ac:dyDescent="0.2">
      <c r="A60" s="2" t="str">
        <f>HYPERLINK("https://otsuka-europe-crm.veevavault.com/ui/#object/multichannel_activity__v/V9VZ025E828APPE", "MCA-000023802")</f>
        <v>MCA-000023802</v>
      </c>
      <c r="B60" s="3" t="s">
        <v>9</v>
      </c>
      <c r="C60" s="2" t="str">
        <f t="shared" si="12"/>
        <v>SE-000209827</v>
      </c>
      <c r="D60" s="2" t="str">
        <f t="shared" si="5"/>
        <v>Gianpaolo Fichera</v>
      </c>
      <c r="E60" s="2" t="str">
        <f t="shared" si="13"/>
        <v>MAURIZIO MAVARACCHIO</v>
      </c>
      <c r="F60" s="4">
        <v>45757.506747685184</v>
      </c>
      <c r="G60" s="2" t="str">
        <f t="shared" si="14"/>
        <v>IT-AM2-2400012 - Abilify 960 lancio_v2</v>
      </c>
      <c r="H60" s="3" t="s">
        <v>11</v>
      </c>
      <c r="I60" s="2" t="str">
        <f t="shared" si="0"/>
        <v>Integration User</v>
      </c>
    </row>
    <row r="61" spans="1:9" x14ac:dyDescent="0.2">
      <c r="A61" s="2" t="str">
        <f>HYPERLINK("https://otsuka-europe-crm.veevavault.com/ui/#object/multichannel_activity__v/V9VZ025E828AQPH", "MCA-000023803")</f>
        <v>MCA-000023803</v>
      </c>
      <c r="B61" s="3" t="s">
        <v>9</v>
      </c>
      <c r="C61" s="2" t="str">
        <f>HYPERLINK("https://otsuka-europe-crm.veevavault.com/ui/#object/sent_email__v/VBLZ025E82CPJ56", "SE-000209828")</f>
        <v>SE-000209828</v>
      </c>
      <c r="D61" s="2" t="str">
        <f t="shared" si="5"/>
        <v>Gianpaolo Fichera</v>
      </c>
      <c r="E61" s="2" t="str">
        <f>HYPERLINK("https://otsuka-europe-crm.veevavault.com/ui/#object/account__v/V4TZ04ASGC7N4UC", "RAFFAELE BONATTO REVELLO")</f>
        <v>RAFFAELE BONATTO REVELLO</v>
      </c>
      <c r="F61" s="4">
        <v>45757.507152777776</v>
      </c>
      <c r="G61" s="2" t="str">
        <f t="shared" si="14"/>
        <v>IT-AM2-2400012 - Abilify 960 lancio_v2</v>
      </c>
      <c r="H61" s="3" t="s">
        <v>11</v>
      </c>
      <c r="I61" s="2" t="str">
        <f t="shared" si="0"/>
        <v>Integration User</v>
      </c>
    </row>
    <row r="62" spans="1:9" x14ac:dyDescent="0.2">
      <c r="A62" s="2" t="str">
        <f>HYPERLINK("https://otsuka-europe-crm.veevavault.com/ui/#object/multichannel_activity__v/V9VZ025E828AQS9", "MCA-000023804")</f>
        <v>MCA-000023804</v>
      </c>
      <c r="B62" s="3" t="s">
        <v>9</v>
      </c>
      <c r="C62" s="2" t="str">
        <f>HYPERLINK("https://otsuka-europe-crm.veevavault.com/ui/#object/sent_email__v/VBLZ025E82CPJ56", "SE-000209828")</f>
        <v>SE-000209828</v>
      </c>
      <c r="D62" s="2" t="str">
        <f t="shared" si="5"/>
        <v>Gianpaolo Fichera</v>
      </c>
      <c r="E62" s="2" t="str">
        <f>HYPERLINK("https://otsuka-europe-crm.veevavault.com/ui/#object/account__v/V4TZ04ASGC7N4UC", "RAFFAELE BONATTO REVELLO")</f>
        <v>RAFFAELE BONATTO REVELLO</v>
      </c>
      <c r="F62" s="4">
        <v>45757.507152777776</v>
      </c>
      <c r="G62" s="2" t="str">
        <f t="shared" si="14"/>
        <v>IT-AM2-2400012 - Abilify 960 lancio_v2</v>
      </c>
      <c r="H62" s="3" t="s">
        <v>11</v>
      </c>
      <c r="I62" s="2" t="str">
        <f t="shared" si="0"/>
        <v>Integration User</v>
      </c>
    </row>
    <row r="63" spans="1:9" x14ac:dyDescent="0.2">
      <c r="A63" s="2" t="str">
        <f>HYPERLINK("https://otsuka-europe-crm.veevavault.com/ui/#object/multichannel_activity__v/V9VZ025E828AQV1", "MCA-000023805")</f>
        <v>MCA-000023805</v>
      </c>
      <c r="B63" s="3" t="s">
        <v>9</v>
      </c>
      <c r="C63" s="2" t="str">
        <f>HYPERLINK("https://otsuka-europe-crm.veevavault.com/ui/#object/sent_email__v/VBLZ025E82CPJ56", "SE-000209828")</f>
        <v>SE-000209828</v>
      </c>
      <c r="D63" s="2" t="str">
        <f t="shared" si="5"/>
        <v>Gianpaolo Fichera</v>
      </c>
      <c r="E63" s="2" t="str">
        <f>HYPERLINK("https://otsuka-europe-crm.veevavault.com/ui/#object/account__v/V4TZ04ASGC7N4UC", "RAFFAELE BONATTO REVELLO")</f>
        <v>RAFFAELE BONATTO REVELLO</v>
      </c>
      <c r="F63" s="4">
        <v>45757.507152777776</v>
      </c>
      <c r="G63" s="2" t="str">
        <f t="shared" si="14"/>
        <v>IT-AM2-2400012 - Abilify 960 lancio_v2</v>
      </c>
      <c r="H63" s="3" t="s">
        <v>11</v>
      </c>
      <c r="I63" s="2" t="str">
        <f t="shared" si="0"/>
        <v>Integration User</v>
      </c>
    </row>
    <row r="64" spans="1:9" x14ac:dyDescent="0.2">
      <c r="A64" s="2" t="str">
        <f>HYPERLINK("https://otsuka-europe-crm.veevavault.com/ui/#object/multichannel_activity__v/V9VZ025E828AQXT", "MCA-000023806")</f>
        <v>MCA-000023806</v>
      </c>
      <c r="B64" s="3" t="s">
        <v>9</v>
      </c>
      <c r="C64" s="2" t="str">
        <f>HYPERLINK("https://otsuka-europe-crm.veevavault.com/ui/#object/sent_email__v/VBLZ025E82CPJ56", "SE-000209828")</f>
        <v>SE-000209828</v>
      </c>
      <c r="D64" s="2" t="str">
        <f t="shared" si="5"/>
        <v>Gianpaolo Fichera</v>
      </c>
      <c r="E64" s="2" t="str">
        <f>HYPERLINK("https://otsuka-europe-crm.veevavault.com/ui/#object/account__v/V4TZ04ASGC7N4UC", "RAFFAELE BONATTO REVELLO")</f>
        <v>RAFFAELE BONATTO REVELLO</v>
      </c>
      <c r="F64" s="4">
        <v>45757.507152777776</v>
      </c>
      <c r="G64" s="2" t="str">
        <f t="shared" si="14"/>
        <v>IT-AM2-2400012 - Abilify 960 lancio_v2</v>
      </c>
      <c r="H64" s="3" t="s">
        <v>11</v>
      </c>
      <c r="I64" s="2" t="str">
        <f t="shared" si="0"/>
        <v>Integration User</v>
      </c>
    </row>
    <row r="65" spans="1:9" x14ac:dyDescent="0.2">
      <c r="A65" s="2" t="str">
        <f>HYPERLINK("https://otsuka-europe-crm.veevavault.com/ui/#object/multichannel_activity__v/V9VZ025E828CDQH", "MCA-000023946")</f>
        <v>MCA-000023946</v>
      </c>
      <c r="B65" s="3" t="s">
        <v>9</v>
      </c>
      <c r="C65" s="2" t="str">
        <f>HYPERLINK("https://otsuka-europe-crm.veevavault.com/ui/#object/sent_email__v/VBLZ025E82CW9QH", "SE-000210885")</f>
        <v>SE-000210885</v>
      </c>
      <c r="D65" s="2" t="str">
        <f>HYPERLINK("https://otsuka-europe-crm.veevavault.com/ui/#object/user__sys/27667814", "Linda Ottavo")</f>
        <v>Linda Ottavo</v>
      </c>
      <c r="E65" s="2" t="str">
        <f>HYPERLINK("https://otsuka-europe-crm.veevavault.com/ui/#object/account__v/V4TZ06G6O71SB7D", "ANTONIETTA LA VERDE")</f>
        <v>ANTONIETTA LA VERDE</v>
      </c>
      <c r="F65" s="4">
        <v>45765.454305555555</v>
      </c>
      <c r="G65" s="2" t="str">
        <f>HYPERLINK("https://otsuka-europe-crm.veevavault.com/ui/#object/approved_document__v/V5OZ025E82MI7QZ", "RTE Proteinuria C1 - IT-LUP-2500006 - Nephro")</f>
        <v>RTE Proteinuria C1 - IT-LUP-2500006 - Nephro</v>
      </c>
      <c r="H65" s="3" t="s">
        <v>18</v>
      </c>
      <c r="I65" s="2" t="str">
        <f t="shared" si="0"/>
        <v>Integration User</v>
      </c>
    </row>
    <row r="66" spans="1:9" x14ac:dyDescent="0.2">
      <c r="A66" s="2" t="str">
        <f>HYPERLINK("https://otsuka-europe-crm.veevavault.com/ui/#object/multichannel_activity__v/V9VZ025E828G8E5", "MCA-000024221")</f>
        <v>MCA-000024221</v>
      </c>
      <c r="B66" s="3" t="s">
        <v>9</v>
      </c>
      <c r="C66" s="2" t="str">
        <f>HYPERLINK("https://otsuka-europe-crm.veevavault.com/ui/#object/sent_email__v/VBLZ025E82DAFGI", "SE-000224009")</f>
        <v>SE-000224009</v>
      </c>
      <c r="D66" s="2" t="str">
        <f>HYPERLINK("https://otsuka-europe-crm.veevavault.com/ui/#object/user__sys/25259278", "Natale Cinoglosso")</f>
        <v>Natale Cinoglosso</v>
      </c>
      <c r="E66" s="2" t="str">
        <f>HYPERLINK("https://otsuka-europe-crm.veevavault.com/ui/#object/account__v/V4TZ025E87IPX7D", "LUIGI CURRELI")</f>
        <v>LUIGI CURRELI</v>
      </c>
      <c r="F66" s="4">
        <v>45785.36141203704</v>
      </c>
      <c r="G66" s="2" t="str">
        <f>HYPERLINK("https://otsuka-europe-crm.veevavault.com/ui/#object/approved_document__v/V5OZ025E82ODFFB", "AE INAQOVI Informazioni cliniche")</f>
        <v>AE INAQOVI Informazioni cliniche</v>
      </c>
      <c r="H66" s="3" t="s">
        <v>19</v>
      </c>
      <c r="I66" s="2" t="str">
        <f t="shared" ref="I66:I129" si="15">HYPERLINK("https://otsuka-europe-crm.veevavault.com/ui/#object/user__sys/27667712", "Integration User")</f>
        <v>Integration User</v>
      </c>
    </row>
    <row r="67" spans="1:9" x14ac:dyDescent="0.2">
      <c r="A67" s="2" t="str">
        <f>HYPERLINK("https://otsuka-europe-crm.veevavault.com/ui/#object/multichannel_activity__v/V9VZ025E828I5OL", "MCA-000024352")</f>
        <v>MCA-000024352</v>
      </c>
      <c r="B67" s="3" t="s">
        <v>9</v>
      </c>
      <c r="C67" s="2" t="str">
        <f>HYPERLINK("https://otsuka-europe-crm.veevavault.com/ui/#object/sent_email__v/VBLZ025E82DDFBT", "SE-000224813")</f>
        <v>SE-000224813</v>
      </c>
      <c r="D67" s="2" t="str">
        <f>HYPERLINK("https://otsuka-europe-crm.veevavault.com/ui/#object/user__sys/27667820", "Miriam Bechagra")</f>
        <v>Miriam Bechagra</v>
      </c>
      <c r="E67" s="2" t="str">
        <f>HYPERLINK("https://otsuka-europe-crm.veevavault.com/ui/#object/account__v/V4TZ06G6O71SB1E", "SERGIO CAVAGNUOLO")</f>
        <v>SERGIO CAVAGNUOLO</v>
      </c>
      <c r="F67" s="4">
        <v>45789.528171296297</v>
      </c>
      <c r="G67" s="2" t="str">
        <f>HYPERLINK("https://otsuka-europe-crm.veevavault.com/ui/#object/approved_document__v/V5OZ025E82IBS8L", "Otsuka_unbranded_AE FAD Federserd-IT-AM-2400028")</f>
        <v>Otsuka_unbranded_AE FAD Federserd-IT-AM-2400028</v>
      </c>
      <c r="H67" s="3" t="s">
        <v>12</v>
      </c>
      <c r="I67" s="2" t="str">
        <f t="shared" si="15"/>
        <v>Integration User</v>
      </c>
    </row>
    <row r="68" spans="1:9" x14ac:dyDescent="0.2">
      <c r="A68" s="2" t="str">
        <f>HYPERLINK("https://otsuka-europe-crm.veevavault.com/ui/#object/multichannel_activity__v/V9VZ025E828I5RD", "MCA-000024353")</f>
        <v>MCA-000024353</v>
      </c>
      <c r="B68" s="3" t="s">
        <v>9</v>
      </c>
      <c r="C68" s="2" t="str">
        <f>HYPERLINK("https://otsuka-europe-crm.veevavault.com/ui/#object/sent_email__v/VBLZ025E82DDFBT", "SE-000224813")</f>
        <v>SE-000224813</v>
      </c>
      <c r="D68" s="2" t="str">
        <f>HYPERLINK("https://otsuka-europe-crm.veevavault.com/ui/#object/user__sys/27667820", "Miriam Bechagra")</f>
        <v>Miriam Bechagra</v>
      </c>
      <c r="E68" s="2" t="str">
        <f>HYPERLINK("https://otsuka-europe-crm.veevavault.com/ui/#object/account__v/V4TZ06G6O71SB1E", "SERGIO CAVAGNUOLO")</f>
        <v>SERGIO CAVAGNUOLO</v>
      </c>
      <c r="F68" s="4">
        <v>45789.528171296297</v>
      </c>
      <c r="G68" s="2" t="str">
        <f>HYPERLINK("https://otsuka-europe-crm.veevavault.com/ui/#object/approved_document__v/V5OZ025E82IBS8L", "Otsuka_unbranded_AE FAD Federserd-IT-AM-2400028")</f>
        <v>Otsuka_unbranded_AE FAD Federserd-IT-AM-2400028</v>
      </c>
      <c r="H68" s="3" t="s">
        <v>12</v>
      </c>
      <c r="I68" s="2" t="str">
        <f t="shared" si="15"/>
        <v>Integration User</v>
      </c>
    </row>
    <row r="69" spans="1:9" x14ac:dyDescent="0.2">
      <c r="A69" s="2" t="str">
        <f>HYPERLINK("https://otsuka-europe-crm.veevavault.com/ui/#object/multichannel_activity__v/V9VZ025E828IKF5", "MCA-000024403")</f>
        <v>MCA-000024403</v>
      </c>
      <c r="B69" s="3" t="s">
        <v>9</v>
      </c>
      <c r="C69" s="2" t="str">
        <f>HYPERLINK("https://otsuka-europe-crm.veevavault.com/ui/#object/sent_email__v/VBLZ025E82DIVE5", "SE-000231088")</f>
        <v>SE-000231088</v>
      </c>
      <c r="D69" s="2" t="str">
        <f t="shared" ref="D69:D74" si="16">HYPERLINK("https://otsuka-europe-crm.veevavault.com/ui/#object/user__sys/27667886", "Claudia Rondina")</f>
        <v>Claudia Rondina</v>
      </c>
      <c r="E69" s="2" t="str">
        <f>HYPERLINK("https://otsuka-europe-crm.veevavault.com/ui/#object/account__v/V4TZ04ASGE770M8", "VERONICA BAGLIO")</f>
        <v>VERONICA BAGLIO</v>
      </c>
      <c r="F69" s="4">
        <v>45793.607106481482</v>
      </c>
      <c r="G69" s="2" t="str">
        <f>HYPERLINK("https://otsuka-europe-crm.veevavault.com/ui/#object/approved_document__v/V5OZ025E82MI7QZ", "RTE Proteinuria C1 - IT-LUP-2500006 - Nephro")</f>
        <v>RTE Proteinuria C1 - IT-LUP-2500006 - Nephro</v>
      </c>
      <c r="H69" s="3" t="s">
        <v>18</v>
      </c>
      <c r="I69" s="2" t="str">
        <f t="shared" si="15"/>
        <v>Integration User</v>
      </c>
    </row>
    <row r="70" spans="1:9" x14ac:dyDescent="0.2">
      <c r="A70" s="2" t="str">
        <f>HYPERLINK("https://otsuka-europe-crm.veevavault.com/ui/#object/multichannel_activity__v/V9VZ025E828IKHX", "MCA-000024404")</f>
        <v>MCA-000024404</v>
      </c>
      <c r="B70" s="3" t="s">
        <v>13</v>
      </c>
      <c r="C70" s="2" t="str">
        <f>HYPERLINK("https://otsuka-europe-crm.veevavault.com/ui/#object/sent_email__v/VBLZ025E82DIVE5", "SE-000231088")</f>
        <v>SE-000231088</v>
      </c>
      <c r="D70" s="2" t="str">
        <f t="shared" si="16"/>
        <v>Claudia Rondina</v>
      </c>
      <c r="E70" s="2" t="str">
        <f>HYPERLINK("https://otsuka-europe-crm.veevavault.com/ui/#object/account__v/V4TZ04ASGE770M8", "VERONICA BAGLIO")</f>
        <v>VERONICA BAGLIO</v>
      </c>
      <c r="F70" s="4">
        <v>45793.607106481482</v>
      </c>
      <c r="G70" s="2" t="str">
        <f>HYPERLINK("https://otsuka-europe-crm.veevavault.com/ui/#object/approved_document__v/V5OZ025E82MI7QZ", "RTE Proteinuria C1 - IT-LUP-2500006 - Nephro")</f>
        <v>RTE Proteinuria C1 - IT-LUP-2500006 - Nephro</v>
      </c>
      <c r="H70" s="3" t="s">
        <v>18</v>
      </c>
      <c r="I70" s="2" t="str">
        <f t="shared" si="15"/>
        <v>Integration User</v>
      </c>
    </row>
    <row r="71" spans="1:9" x14ac:dyDescent="0.2">
      <c r="A71" s="2" t="str">
        <f>HYPERLINK("https://otsuka-europe-crm.veevavault.com/ui/#object/multichannel_activity__v/V9VZ025E828IKKP", "MCA-000024405")</f>
        <v>MCA-000024405</v>
      </c>
      <c r="B71" s="3" t="s">
        <v>13</v>
      </c>
      <c r="C71" s="2" t="str">
        <f>HYPERLINK("https://otsuka-europe-crm.veevavault.com/ui/#object/sent_email__v/VBLZ025E82DIVGX", "SE-000231089")</f>
        <v>SE-000231089</v>
      </c>
      <c r="D71" s="2" t="str">
        <f t="shared" si="16"/>
        <v>Claudia Rondina</v>
      </c>
      <c r="E71" s="2" t="str">
        <f>HYPERLINK("https://otsuka-europe-crm.veevavault.com/ui/#object/account__v/V4TZ06G6O71SAOQ", "MARCO GALLIANI")</f>
        <v>MARCO GALLIANI</v>
      </c>
      <c r="F71" s="4">
        <v>45793.607372685183</v>
      </c>
      <c r="G71" s="2" t="str">
        <f>HYPERLINK("https://otsuka-europe-crm.veevavault.com/ui/#object/approved_document__v/V5OZ025E82MI7QZ", "RTE Proteinuria C1 - IT-LUP-2500006 - Nephro")</f>
        <v>RTE Proteinuria C1 - IT-LUP-2500006 - Nephro</v>
      </c>
      <c r="H71" s="3" t="s">
        <v>18</v>
      </c>
      <c r="I71" s="2" t="str">
        <f t="shared" si="15"/>
        <v>Integration User</v>
      </c>
    </row>
    <row r="72" spans="1:9" x14ac:dyDescent="0.2">
      <c r="A72" s="2" t="str">
        <f>HYPERLINK("https://otsuka-europe-crm.veevavault.com/ui/#object/multichannel_activity__v/V9VZ025E828IKNH", "MCA-000024406")</f>
        <v>MCA-000024406</v>
      </c>
      <c r="B72" s="3" t="s">
        <v>9</v>
      </c>
      <c r="C72" s="2" t="str">
        <f>HYPERLINK("https://otsuka-europe-crm.veevavault.com/ui/#object/sent_email__v/VBLZ025E82DIVGX", "SE-000231089")</f>
        <v>SE-000231089</v>
      </c>
      <c r="D72" s="2" t="str">
        <f t="shared" si="16"/>
        <v>Claudia Rondina</v>
      </c>
      <c r="E72" s="2" t="str">
        <f>HYPERLINK("https://otsuka-europe-crm.veevavault.com/ui/#object/account__v/V4TZ06G6O71SAOQ", "MARCO GALLIANI")</f>
        <v>MARCO GALLIANI</v>
      </c>
      <c r="F72" s="4">
        <v>45793.607372685183</v>
      </c>
      <c r="G72" s="2" t="str">
        <f>HYPERLINK("https://otsuka-europe-crm.veevavault.com/ui/#object/approved_document__v/V5OZ025E82MI7QZ", "RTE Proteinuria C1 - IT-LUP-2500006 - Nephro")</f>
        <v>RTE Proteinuria C1 - IT-LUP-2500006 - Nephro</v>
      </c>
      <c r="H72" s="3" t="s">
        <v>18</v>
      </c>
      <c r="I72" s="2" t="str">
        <f t="shared" si="15"/>
        <v>Integration User</v>
      </c>
    </row>
    <row r="73" spans="1:9" x14ac:dyDescent="0.2">
      <c r="A73" s="2" t="str">
        <f>HYPERLINK("https://otsuka-europe-crm.veevavault.com/ui/#object/multichannel_activity__v/V9VZ025E828IKT1", "MCA-000024408")</f>
        <v>MCA-000024408</v>
      </c>
      <c r="B73" s="3" t="s">
        <v>13</v>
      </c>
      <c r="C73" s="2" t="str">
        <f>HYPERLINK("https://otsuka-europe-crm.veevavault.com/ui/#object/sent_email__v/VBLZ025E82DIZEL", "SE-000231136")</f>
        <v>SE-000231136</v>
      </c>
      <c r="D73" s="2" t="str">
        <f t="shared" si="16"/>
        <v>Claudia Rondina</v>
      </c>
      <c r="E73" s="2" t="str">
        <f>HYPERLINK("https://otsuka-europe-crm.veevavault.com/ui/#object/account__v/V4TZ04ASGBNLBEH", "ILARIA LECCESE")</f>
        <v>ILARIA LECCESE</v>
      </c>
      <c r="F73" s="4">
        <v>45793.623599537037</v>
      </c>
      <c r="G73" s="2" t="str">
        <f>HYPERLINK("https://otsuka-europe-crm.veevavault.com/ui/#object/approved_document__v/V5OZ025E82MHCNH", "RTE Proteinuria C1 - IT-LUP-2500006 - Reuma")</f>
        <v>RTE Proteinuria C1 - IT-LUP-2500006 - Reuma</v>
      </c>
      <c r="H73" s="3" t="s">
        <v>18</v>
      </c>
      <c r="I73" s="2" t="str">
        <f t="shared" si="15"/>
        <v>Integration User</v>
      </c>
    </row>
    <row r="74" spans="1:9" x14ac:dyDescent="0.2">
      <c r="A74" s="2" t="str">
        <f>HYPERLINK("https://otsuka-europe-crm.veevavault.com/ui/#object/multichannel_activity__v/V9VZ025E828IKVT", "MCA-000024409")</f>
        <v>MCA-000024409</v>
      </c>
      <c r="B74" s="3" t="s">
        <v>9</v>
      </c>
      <c r="C74" s="2" t="str">
        <f>HYPERLINK("https://otsuka-europe-crm.veevavault.com/ui/#object/sent_email__v/VBLZ025E82DIZEL", "SE-000231136")</f>
        <v>SE-000231136</v>
      </c>
      <c r="D74" s="2" t="str">
        <f t="shared" si="16"/>
        <v>Claudia Rondina</v>
      </c>
      <c r="E74" s="2" t="str">
        <f>HYPERLINK("https://otsuka-europe-crm.veevavault.com/ui/#object/account__v/V4TZ04ASGBNLBEH", "ILARIA LECCESE")</f>
        <v>ILARIA LECCESE</v>
      </c>
      <c r="F74" s="4">
        <v>45793.623599537037</v>
      </c>
      <c r="G74" s="2" t="str">
        <f>HYPERLINK("https://otsuka-europe-crm.veevavault.com/ui/#object/approved_document__v/V5OZ025E82MHCNH", "RTE Proteinuria C1 - IT-LUP-2500006 - Reuma")</f>
        <v>RTE Proteinuria C1 - IT-LUP-2500006 - Reuma</v>
      </c>
      <c r="H74" s="3" t="s">
        <v>18</v>
      </c>
      <c r="I74" s="2" t="str">
        <f t="shared" si="15"/>
        <v>Integration User</v>
      </c>
    </row>
    <row r="75" spans="1:9" x14ac:dyDescent="0.2">
      <c r="A75" s="2" t="str">
        <f>HYPERLINK("https://otsuka-europe-crm.veevavault.com/ui/#object/multichannel_activity__v/V9VZ025E828IT7T", "MCA-000024424")</f>
        <v>MCA-000024424</v>
      </c>
      <c r="B75" s="3" t="s">
        <v>13</v>
      </c>
      <c r="C75" s="2" t="str">
        <f>HYPERLINK("https://otsuka-europe-crm.veevavault.com/ui/#object/sent_email__v/VBLZ025E82DJVNQ", "SE-000231293")</f>
        <v>SE-000231293</v>
      </c>
      <c r="D75" s="2" t="str">
        <f>HYPERLINK("https://otsuka-europe-crm.veevavault.com/ui/#object/user__sys/27667800", "Gianpaolo Fichera")</f>
        <v>Gianpaolo Fichera</v>
      </c>
      <c r="E75" s="2" t="str">
        <f>HYPERLINK("https://otsuka-europe-crm.veevavault.com/ui/#object/account__v/V4TZ04ASGC7N4UC", "RAFFAELE BONATTO REVELLO")</f>
        <v>RAFFAELE BONATTO REVELLO</v>
      </c>
      <c r="F75" s="4">
        <v>45796.480034722219</v>
      </c>
      <c r="G75" s="2" t="str">
        <f>HYPERLINK("https://otsuka-europe-crm.veevavault.com/ui/#object/approved_document__v/V5OZ025E82NLDPA", "RXULTI_Branded_AE DE FILIPPIS_IT-RXU-2300072")</f>
        <v>RXULTI_Branded_AE DE FILIPPIS_IT-RXU-2300072</v>
      </c>
      <c r="H75" s="3" t="s">
        <v>10</v>
      </c>
      <c r="I75" s="2" t="str">
        <f t="shared" si="15"/>
        <v>Integration User</v>
      </c>
    </row>
    <row r="76" spans="1:9" x14ac:dyDescent="0.2">
      <c r="A76" s="2" t="str">
        <f>HYPERLINK("https://otsuka-europe-crm.veevavault.com/ui/#object/multichannel_activity__v/V9VZ025E828ITAL", "MCA-000024425")</f>
        <v>MCA-000024425</v>
      </c>
      <c r="B76" s="3" t="s">
        <v>13</v>
      </c>
      <c r="C76" s="2" t="str">
        <f>HYPERLINK("https://otsuka-europe-crm.veevavault.com/ui/#object/sent_email__v/VBLZ025E82DJVNQ", "SE-000231293")</f>
        <v>SE-000231293</v>
      </c>
      <c r="D76" s="2" t="str">
        <f>HYPERLINK("https://otsuka-europe-crm.veevavault.com/ui/#object/user__sys/27667800", "Gianpaolo Fichera")</f>
        <v>Gianpaolo Fichera</v>
      </c>
      <c r="E76" s="2" t="str">
        <f>HYPERLINK("https://otsuka-europe-crm.veevavault.com/ui/#object/account__v/V4TZ04ASGC7N4UC", "RAFFAELE BONATTO REVELLO")</f>
        <v>RAFFAELE BONATTO REVELLO</v>
      </c>
      <c r="F76" s="4">
        <v>45796.480034722219</v>
      </c>
      <c r="G76" s="2" t="str">
        <f>HYPERLINK("https://otsuka-europe-crm.veevavault.com/ui/#object/approved_document__v/V5OZ025E82NLDPA", "RXULTI_Branded_AE DE FILIPPIS_IT-RXU-2300072")</f>
        <v>RXULTI_Branded_AE DE FILIPPIS_IT-RXU-2300072</v>
      </c>
      <c r="H76" s="3" t="s">
        <v>10</v>
      </c>
      <c r="I76" s="2" t="str">
        <f t="shared" si="15"/>
        <v>Integration User</v>
      </c>
    </row>
    <row r="77" spans="1:9" x14ac:dyDescent="0.2">
      <c r="A77" s="2" t="str">
        <f>HYPERLINK("https://otsuka-europe-crm.veevavault.com/ui/#object/multichannel_activity__v/V9VZ025E828ITDD", "MCA-000024426")</f>
        <v>MCA-000024426</v>
      </c>
      <c r="B77" s="3" t="s">
        <v>13</v>
      </c>
      <c r="C77" s="2" t="str">
        <f>HYPERLINK("https://otsuka-europe-crm.veevavault.com/ui/#object/sent_email__v/VBLZ025E82DJVNQ", "SE-000231293")</f>
        <v>SE-000231293</v>
      </c>
      <c r="D77" s="2" t="str">
        <f>HYPERLINK("https://otsuka-europe-crm.veevavault.com/ui/#object/user__sys/27667800", "Gianpaolo Fichera")</f>
        <v>Gianpaolo Fichera</v>
      </c>
      <c r="E77" s="2" t="str">
        <f>HYPERLINK("https://otsuka-europe-crm.veevavault.com/ui/#object/account__v/V4TZ04ASGC7N4UC", "RAFFAELE BONATTO REVELLO")</f>
        <v>RAFFAELE BONATTO REVELLO</v>
      </c>
      <c r="F77" s="4">
        <v>45796.480034722219</v>
      </c>
      <c r="G77" s="2" t="str">
        <f>HYPERLINK("https://otsuka-europe-crm.veevavault.com/ui/#object/approved_document__v/V5OZ025E82NLDPA", "RXULTI_Branded_AE DE FILIPPIS_IT-RXU-2300072")</f>
        <v>RXULTI_Branded_AE DE FILIPPIS_IT-RXU-2300072</v>
      </c>
      <c r="H77" s="3" t="s">
        <v>10</v>
      </c>
      <c r="I77" s="2" t="str">
        <f t="shared" si="15"/>
        <v>Integration User</v>
      </c>
    </row>
    <row r="78" spans="1:9" x14ac:dyDescent="0.2">
      <c r="A78" s="2" t="str">
        <f>HYPERLINK("https://otsuka-europe-crm.veevavault.com/ui/#object/multichannel_activity__v/V9VZ025E828JNM9", "MCA-000024572")</f>
        <v>MCA-000024572</v>
      </c>
      <c r="B78" s="3" t="s">
        <v>9</v>
      </c>
      <c r="C78" s="2" t="str">
        <f>HYPERLINK("https://otsuka-europe-crm.veevavault.com/ui/#object/sent_email__v/VBLZ025E82DOE8H", "SE-000233224")</f>
        <v>SE-000233224</v>
      </c>
      <c r="D78" s="2" t="str">
        <f>HYPERLINK("https://otsuka-europe-crm.veevavault.com/ui/#object/user__sys/27667804", "Maria Gargiulo")</f>
        <v>Maria Gargiulo</v>
      </c>
      <c r="E78" s="2" t="str">
        <f>HYPERLINK("https://otsuka-europe-crm.veevavault.com/ui/#object/account__v/V4TZ06G6O71SB7V", "LOREDANA LIBERATORE")</f>
        <v>LOREDANA LIBERATORE</v>
      </c>
      <c r="F78" s="4">
        <v>45799.448831018519</v>
      </c>
      <c r="G78" s="2" t="str">
        <f>HYPERLINK("https://otsuka-europe-crm.veevavault.com/ui/#object/approved_document__v/V5OZ025E82N7BDI", "IT-AM2-2400012 - Abilify 960 lancio_v2")</f>
        <v>IT-AM2-2400012 - Abilify 960 lancio_v2</v>
      </c>
      <c r="H78" s="3" t="s">
        <v>11</v>
      </c>
      <c r="I78" s="2" t="str">
        <f t="shared" si="15"/>
        <v>Integration User</v>
      </c>
    </row>
    <row r="79" spans="1:9" x14ac:dyDescent="0.2">
      <c r="A79" s="2" t="str">
        <f>HYPERLINK("https://otsuka-europe-crm.veevavault.com/ui/#object/multichannel_activity__v/V9VZ025E828KVZH", "MCA-000024696")</f>
        <v>MCA-000024696</v>
      </c>
      <c r="B79" s="3" t="s">
        <v>9</v>
      </c>
      <c r="C79" s="2" t="str">
        <f>HYPERLINK("https://otsuka-europe-crm.veevavault.com/ui/#object/sent_email__v/VBLZ025E82DU89L", "SE-000234283")</f>
        <v>SE-000234283</v>
      </c>
      <c r="D79" s="2" t="str">
        <f>HYPERLINK("https://otsuka-europe-crm.veevavault.com/ui/#object/user__sys/27667804", "Maria Gargiulo")</f>
        <v>Maria Gargiulo</v>
      </c>
      <c r="E79" s="2" t="str">
        <f>HYPERLINK("https://otsuka-europe-crm.veevavault.com/ui/#object/account__v/V4TZ025E86WVRLU", "VITTORIO FREDA")</f>
        <v>VITTORIO FREDA</v>
      </c>
      <c r="F79" s="4">
        <v>45806.328761574077</v>
      </c>
      <c r="G79" s="2" t="str">
        <f>HYPERLINK("https://otsuka-europe-crm.veevavault.com/ui/#object/approved_document__v/V5OZ025E82N7BDI", "IT-AM2-2400012 - Abilify 960 lancio_v2")</f>
        <v>IT-AM2-2400012 - Abilify 960 lancio_v2</v>
      </c>
      <c r="H79" s="3" t="s">
        <v>11</v>
      </c>
      <c r="I79" s="2" t="str">
        <f t="shared" si="15"/>
        <v>Integration User</v>
      </c>
    </row>
    <row r="80" spans="1:9" x14ac:dyDescent="0.2">
      <c r="A80" s="2" t="str">
        <f>HYPERLINK("https://otsuka-europe-crm.veevavault.com/ui/#object/multichannel_activity__v/V9VZ025E828NURX", "MCA-000024917")</f>
        <v>MCA-000024917</v>
      </c>
      <c r="B80" s="3" t="s">
        <v>9</v>
      </c>
      <c r="C80" s="2" t="str">
        <f>HYPERLINK("https://otsuka-europe-crm.veevavault.com/ui/#object/sent_email__v/VBLZ025E82EGMFT", "SE-000241357")</f>
        <v>SE-000241357</v>
      </c>
      <c r="D80" s="2" t="str">
        <f t="shared" ref="D80:D91" si="17">HYPERLINK("https://otsuka-europe-crm.veevavault.com/ui/#object/user__sys/27667886", "Claudia Rondina")</f>
        <v>Claudia Rondina</v>
      </c>
      <c r="E80" s="2" t="str">
        <f>HYPERLINK("https://otsuka-europe-crm.veevavault.com/ui/#object/account__v/V4TZ04ASGBNLBEH", "ILARIA LECCESE")</f>
        <v>ILARIA LECCESE</v>
      </c>
      <c r="F80" s="4">
        <v>45826.50681712963</v>
      </c>
      <c r="G80" s="2" t="str">
        <f t="shared" ref="G80:G85" si="18">HYPERLINK("https://otsuka-europe-crm.veevavault.com/ui/#object/approved_document__v/V5OZ025E82PRXEH", "LUPKYNIS_Branded_ studio Palmer - IT-LUP-2500010-Rheumatology")</f>
        <v>LUPKYNIS_Branded_ studio Palmer - IT-LUP-2500010-Rheumatology</v>
      </c>
      <c r="H80" s="3" t="s">
        <v>20</v>
      </c>
      <c r="I80" s="2" t="str">
        <f t="shared" si="15"/>
        <v>Integration User</v>
      </c>
    </row>
    <row r="81" spans="1:9" x14ac:dyDescent="0.2">
      <c r="A81" s="2" t="str">
        <f>HYPERLINK("https://otsuka-europe-crm.veevavault.com/ui/#object/multichannel_activity__v/V9VZ025E828NUUP", "MCA-000024918")</f>
        <v>MCA-000024918</v>
      </c>
      <c r="B81" s="3" t="s">
        <v>13</v>
      </c>
      <c r="C81" s="2" t="str">
        <f>HYPERLINK("https://otsuka-europe-crm.veevavault.com/ui/#object/sent_email__v/VBLZ025E82EGMFT", "SE-000241357")</f>
        <v>SE-000241357</v>
      </c>
      <c r="D81" s="2" t="str">
        <f t="shared" si="17"/>
        <v>Claudia Rondina</v>
      </c>
      <c r="E81" s="2" t="str">
        <f>HYPERLINK("https://otsuka-europe-crm.veevavault.com/ui/#object/account__v/V4TZ04ASGBNLBEH", "ILARIA LECCESE")</f>
        <v>ILARIA LECCESE</v>
      </c>
      <c r="F81" s="4">
        <v>45826.50681712963</v>
      </c>
      <c r="G81" s="2" t="str">
        <f t="shared" si="18"/>
        <v>LUPKYNIS_Branded_ studio Palmer - IT-LUP-2500010-Rheumatology</v>
      </c>
      <c r="H81" s="3" t="s">
        <v>20</v>
      </c>
      <c r="I81" s="2" t="str">
        <f t="shared" si="15"/>
        <v>Integration User</v>
      </c>
    </row>
    <row r="82" spans="1:9" x14ac:dyDescent="0.2">
      <c r="A82" s="2" t="str">
        <f>HYPERLINK("https://otsuka-europe-crm.veevavault.com/ui/#object/multichannel_activity__v/V9VZ025E828NUXH", "MCA-000024919")</f>
        <v>MCA-000024919</v>
      </c>
      <c r="B82" s="3" t="s">
        <v>13</v>
      </c>
      <c r="C82" s="2" t="str">
        <f>HYPERLINK("https://otsuka-europe-crm.veevavault.com/ui/#object/sent_email__v/VBLZ025E82EGMIL", "SE-000241358")</f>
        <v>SE-000241358</v>
      </c>
      <c r="D82" s="2" t="str">
        <f t="shared" si="17"/>
        <v>Claudia Rondina</v>
      </c>
      <c r="E82" s="2" t="str">
        <f>HYPERLINK("https://otsuka-europe-crm.veevavault.com/ui/#object/account__v/V4TZ04ASGBNL7LI", "ALESSANDRA POMPA")</f>
        <v>ALESSANDRA POMPA</v>
      </c>
      <c r="F82" s="4">
        <v>45826.507361111115</v>
      </c>
      <c r="G82" s="2" t="str">
        <f t="shared" si="18"/>
        <v>LUPKYNIS_Branded_ studio Palmer - IT-LUP-2500010-Rheumatology</v>
      </c>
      <c r="H82" s="3" t="s">
        <v>20</v>
      </c>
      <c r="I82" s="2" t="str">
        <f t="shared" si="15"/>
        <v>Integration User</v>
      </c>
    </row>
    <row r="83" spans="1:9" x14ac:dyDescent="0.2">
      <c r="A83" s="2" t="str">
        <f>HYPERLINK("https://otsuka-europe-crm.veevavault.com/ui/#object/multichannel_activity__v/V9VZ025E828NV09", "MCA-000024920")</f>
        <v>MCA-000024920</v>
      </c>
      <c r="B83" s="3" t="s">
        <v>9</v>
      </c>
      <c r="C83" s="2" t="str">
        <f>HYPERLINK("https://otsuka-europe-crm.veevavault.com/ui/#object/sent_email__v/VBLZ025E82EGMIL", "SE-000241358")</f>
        <v>SE-000241358</v>
      </c>
      <c r="D83" s="2" t="str">
        <f t="shared" si="17"/>
        <v>Claudia Rondina</v>
      </c>
      <c r="E83" s="2" t="str">
        <f>HYPERLINK("https://otsuka-europe-crm.veevavault.com/ui/#object/account__v/V4TZ04ASGBNL7LI", "ALESSANDRA POMPA")</f>
        <v>ALESSANDRA POMPA</v>
      </c>
      <c r="F83" s="4">
        <v>45826.507361111115</v>
      </c>
      <c r="G83" s="2" t="str">
        <f t="shared" si="18"/>
        <v>LUPKYNIS_Branded_ studio Palmer - IT-LUP-2500010-Rheumatology</v>
      </c>
      <c r="H83" s="3" t="s">
        <v>20</v>
      </c>
      <c r="I83" s="2" t="str">
        <f t="shared" si="15"/>
        <v>Integration User</v>
      </c>
    </row>
    <row r="84" spans="1:9" x14ac:dyDescent="0.2">
      <c r="A84" s="2" t="str">
        <f>HYPERLINK("https://otsuka-europe-crm.veevavault.com/ui/#object/multichannel_activity__v/V9VZ025E828NV31", "MCA-000024921")</f>
        <v>MCA-000024921</v>
      </c>
      <c r="B84" s="3" t="s">
        <v>13</v>
      </c>
      <c r="C84" s="2" t="str">
        <f>HYPERLINK("https://otsuka-europe-crm.veevavault.com/ui/#object/sent_email__v/VBLZ025E82EGMLD", "SE-000241359")</f>
        <v>SE-000241359</v>
      </c>
      <c r="D84" s="2" t="str">
        <f t="shared" si="17"/>
        <v>Claudia Rondina</v>
      </c>
      <c r="E84" s="2" t="str">
        <f>HYPERLINK("https://otsuka-europe-crm.veevavault.com/ui/#object/account__v/V4TZ04ASGBNL7LI", "ALESSANDRA POMPA")</f>
        <v>ALESSANDRA POMPA</v>
      </c>
      <c r="F84" s="4">
        <v>45826.507523148146</v>
      </c>
      <c r="G84" s="2" t="str">
        <f t="shared" si="18"/>
        <v>LUPKYNIS_Branded_ studio Palmer - IT-LUP-2500010-Rheumatology</v>
      </c>
      <c r="H84" s="3" t="s">
        <v>20</v>
      </c>
      <c r="I84" s="2" t="str">
        <f t="shared" si="15"/>
        <v>Integration User</v>
      </c>
    </row>
    <row r="85" spans="1:9" x14ac:dyDescent="0.2">
      <c r="A85" s="2" t="str">
        <f>HYPERLINK("https://otsuka-europe-crm.veevavault.com/ui/#object/multichannel_activity__v/V9VZ025E828NV5T", "MCA-000024922")</f>
        <v>MCA-000024922</v>
      </c>
      <c r="B85" s="3" t="s">
        <v>9</v>
      </c>
      <c r="C85" s="2" t="str">
        <f>HYPERLINK("https://otsuka-europe-crm.veevavault.com/ui/#object/sent_email__v/VBLZ025E82EGMLD", "SE-000241359")</f>
        <v>SE-000241359</v>
      </c>
      <c r="D85" s="2" t="str">
        <f t="shared" si="17"/>
        <v>Claudia Rondina</v>
      </c>
      <c r="E85" s="2" t="str">
        <f>HYPERLINK("https://otsuka-europe-crm.veevavault.com/ui/#object/account__v/V4TZ04ASGBNL7LI", "ALESSANDRA POMPA")</f>
        <v>ALESSANDRA POMPA</v>
      </c>
      <c r="F85" s="4">
        <v>45826.507523148146</v>
      </c>
      <c r="G85" s="2" t="str">
        <f t="shared" si="18"/>
        <v>LUPKYNIS_Branded_ studio Palmer - IT-LUP-2500010-Rheumatology</v>
      </c>
      <c r="H85" s="3" t="s">
        <v>20</v>
      </c>
      <c r="I85" s="2" t="str">
        <f t="shared" si="15"/>
        <v>Integration User</v>
      </c>
    </row>
    <row r="86" spans="1:9" x14ac:dyDescent="0.2">
      <c r="A86" s="2" t="str">
        <f>HYPERLINK("https://otsuka-europe-crm.veevavault.com/ui/#object/multichannel_activity__v/V9VZ025E828NVE5", "MCA-000024925")</f>
        <v>MCA-000024925</v>
      </c>
      <c r="B86" s="3" t="s">
        <v>9</v>
      </c>
      <c r="C86" s="2" t="str">
        <f>HYPERLINK("https://otsuka-europe-crm.veevavault.com/ui/#object/sent_email__v/VBLZ025E82EGN21", "SE-000241364")</f>
        <v>SE-000241364</v>
      </c>
      <c r="D86" s="2" t="str">
        <f t="shared" si="17"/>
        <v>Claudia Rondina</v>
      </c>
      <c r="E86" s="2" t="str">
        <f>HYPERLINK("https://otsuka-europe-crm.veevavault.com/ui/#object/account__v/V4TZ04ASGBNXIIN", "GIOVANNI GIULIANI")</f>
        <v>GIOVANNI GIULIANI</v>
      </c>
      <c r="F86" s="4">
        <v>45826.511354166665</v>
      </c>
      <c r="G86" s="2" t="str">
        <f t="shared" ref="G86:G91" si="19">HYPERLINK("https://otsuka-europe-crm.veevavault.com/ui/#object/approved_document__v/V5OZ025E82PRXEJ", "LUPKYNIS_Branded_ studio Palmer - IT-LUP-2500010-Nephrology")</f>
        <v>LUPKYNIS_Branded_ studio Palmer - IT-LUP-2500010-Nephrology</v>
      </c>
      <c r="H86" s="3" t="s">
        <v>20</v>
      </c>
      <c r="I86" s="2" t="str">
        <f t="shared" si="15"/>
        <v>Integration User</v>
      </c>
    </row>
    <row r="87" spans="1:9" x14ac:dyDescent="0.2">
      <c r="A87" s="2" t="str">
        <f>HYPERLINK("https://otsuka-europe-crm.veevavault.com/ui/#object/multichannel_activity__v/V9VZ025E828NVGX", "MCA-000024926")</f>
        <v>MCA-000024926</v>
      </c>
      <c r="B87" s="3" t="s">
        <v>13</v>
      </c>
      <c r="C87" s="2" t="str">
        <f>HYPERLINK("https://otsuka-europe-crm.veevavault.com/ui/#object/sent_email__v/VBLZ025E82EGN21", "SE-000241364")</f>
        <v>SE-000241364</v>
      </c>
      <c r="D87" s="2" t="str">
        <f t="shared" si="17"/>
        <v>Claudia Rondina</v>
      </c>
      <c r="E87" s="2" t="str">
        <f>HYPERLINK("https://otsuka-europe-crm.veevavault.com/ui/#object/account__v/V4TZ04ASGBNXIIN", "GIOVANNI GIULIANI")</f>
        <v>GIOVANNI GIULIANI</v>
      </c>
      <c r="F87" s="4">
        <v>45826.511354166665</v>
      </c>
      <c r="G87" s="2" t="str">
        <f t="shared" si="19"/>
        <v>LUPKYNIS_Branded_ studio Palmer - IT-LUP-2500010-Nephrology</v>
      </c>
      <c r="H87" s="3" t="s">
        <v>20</v>
      </c>
      <c r="I87" s="2" t="str">
        <f t="shared" si="15"/>
        <v>Integration User</v>
      </c>
    </row>
    <row r="88" spans="1:9" x14ac:dyDescent="0.2">
      <c r="A88" s="2" t="str">
        <f>HYPERLINK("https://otsuka-europe-crm.veevavault.com/ui/#object/multichannel_activity__v/V9VZ025E828NW35", "MCA-000024928")</f>
        <v>MCA-000024928</v>
      </c>
      <c r="B88" s="3" t="s">
        <v>9</v>
      </c>
      <c r="C88" s="2" t="str">
        <f>HYPERLINK("https://otsuka-europe-crm.veevavault.com/ui/#object/sent_email__v/VBLZ025E82EGQZP", "SE-000241408")</f>
        <v>SE-000241408</v>
      </c>
      <c r="D88" s="2" t="str">
        <f t="shared" si="17"/>
        <v>Claudia Rondina</v>
      </c>
      <c r="E88" s="2" t="str">
        <f>HYPERLINK("https://otsuka-europe-crm.veevavault.com/ui/#object/account__v/V4TZ06G6O71SAOQ", "MARCO GALLIANI")</f>
        <v>MARCO GALLIANI</v>
      </c>
      <c r="F88" s="4">
        <v>45826.531215277777</v>
      </c>
      <c r="G88" s="2" t="str">
        <f t="shared" si="19"/>
        <v>LUPKYNIS_Branded_ studio Palmer - IT-LUP-2500010-Nephrology</v>
      </c>
      <c r="H88" s="3" t="s">
        <v>20</v>
      </c>
      <c r="I88" s="2" t="str">
        <f t="shared" si="15"/>
        <v>Integration User</v>
      </c>
    </row>
    <row r="89" spans="1:9" x14ac:dyDescent="0.2">
      <c r="A89" s="2" t="str">
        <f>HYPERLINK("https://otsuka-europe-crm.veevavault.com/ui/#object/multichannel_activity__v/V9VZ025E828NV32", "MCA-000024929")</f>
        <v>MCA-000024929</v>
      </c>
      <c r="B89" s="3" t="s">
        <v>13</v>
      </c>
      <c r="C89" s="2" t="str">
        <f>HYPERLINK("https://otsuka-europe-crm.veevavault.com/ui/#object/sent_email__v/VBLZ025E82EGQZP", "SE-000241408")</f>
        <v>SE-000241408</v>
      </c>
      <c r="D89" s="2" t="str">
        <f t="shared" si="17"/>
        <v>Claudia Rondina</v>
      </c>
      <c r="E89" s="2" t="str">
        <f>HYPERLINK("https://otsuka-europe-crm.veevavault.com/ui/#object/account__v/V4TZ06G6O71SAOQ", "MARCO GALLIANI")</f>
        <v>MARCO GALLIANI</v>
      </c>
      <c r="F89" s="4">
        <v>45826.531215277777</v>
      </c>
      <c r="G89" s="2" t="str">
        <f t="shared" si="19"/>
        <v>LUPKYNIS_Branded_ studio Palmer - IT-LUP-2500010-Nephrology</v>
      </c>
      <c r="H89" s="3" t="s">
        <v>20</v>
      </c>
      <c r="I89" s="2" t="str">
        <f t="shared" si="15"/>
        <v>Integration User</v>
      </c>
    </row>
    <row r="90" spans="1:9" x14ac:dyDescent="0.2">
      <c r="A90" s="2" t="str">
        <f>HYPERLINK("https://otsuka-europe-crm.veevavault.com/ui/#object/multichannel_activity__v/V9VZ025E828NW5X", "MCA-000024930")</f>
        <v>MCA-000024930</v>
      </c>
      <c r="B90" s="3" t="s">
        <v>13</v>
      </c>
      <c r="C90" s="2" t="str">
        <f>HYPERLINK("https://otsuka-europe-crm.veevavault.com/ui/#object/sent_email__v/VBLZ025E82EGR2H", "SE-000241409")</f>
        <v>SE-000241409</v>
      </c>
      <c r="D90" s="2" t="str">
        <f t="shared" si="17"/>
        <v>Claudia Rondina</v>
      </c>
      <c r="E90" s="2" t="str">
        <f>HYPERLINK("https://otsuka-europe-crm.veevavault.com/ui/#object/account__v/V4TZ04ASGE770M8", "VERONICA BAGLIO")</f>
        <v>VERONICA BAGLIO</v>
      </c>
      <c r="F90" s="4">
        <v>45826.531481481485</v>
      </c>
      <c r="G90" s="2" t="str">
        <f t="shared" si="19"/>
        <v>LUPKYNIS_Branded_ studio Palmer - IT-LUP-2500010-Nephrology</v>
      </c>
      <c r="H90" s="3" t="s">
        <v>20</v>
      </c>
      <c r="I90" s="2" t="str">
        <f t="shared" si="15"/>
        <v>Integration User</v>
      </c>
    </row>
    <row r="91" spans="1:9" x14ac:dyDescent="0.2">
      <c r="A91" s="2" t="str">
        <f>HYPERLINK("https://otsuka-europe-crm.veevavault.com/ui/#object/multichannel_activity__v/V9VZ025E828NW8P", "MCA-000024931")</f>
        <v>MCA-000024931</v>
      </c>
      <c r="B91" s="3" t="s">
        <v>9</v>
      </c>
      <c r="C91" s="2" t="str">
        <f>HYPERLINK("https://otsuka-europe-crm.veevavault.com/ui/#object/sent_email__v/VBLZ025E82EGR2H", "SE-000241409")</f>
        <v>SE-000241409</v>
      </c>
      <c r="D91" s="2" t="str">
        <f t="shared" si="17"/>
        <v>Claudia Rondina</v>
      </c>
      <c r="E91" s="2" t="str">
        <f>HYPERLINK("https://otsuka-europe-crm.veevavault.com/ui/#object/account__v/V4TZ04ASGE770M8", "VERONICA BAGLIO")</f>
        <v>VERONICA BAGLIO</v>
      </c>
      <c r="F91" s="4">
        <v>45826.531481481485</v>
      </c>
      <c r="G91" s="2" t="str">
        <f t="shared" si="19"/>
        <v>LUPKYNIS_Branded_ studio Palmer - IT-LUP-2500010-Nephrology</v>
      </c>
      <c r="H91" s="3" t="s">
        <v>20</v>
      </c>
      <c r="I91" s="2" t="str">
        <f t="shared" si="15"/>
        <v>Integration User</v>
      </c>
    </row>
    <row r="92" spans="1:9" x14ac:dyDescent="0.2">
      <c r="A92" s="2" t="str">
        <f>HYPERLINK("https://otsuka-europe-crm.veevavault.com/ui/#object/multichannel_activity__v/V9VZ025E828PQLL", "MCA-000025044")</f>
        <v>MCA-000025044</v>
      </c>
      <c r="B92" s="3" t="s">
        <v>9</v>
      </c>
      <c r="C92" s="2" t="str">
        <f>HYPERLINK("https://otsuka-europe-crm.veevavault.com/ui/#object/sent_email__v/VBLZ025E82EPA0H", "SE-000244214")</f>
        <v>SE-000244214</v>
      </c>
      <c r="D92" s="2" t="str">
        <f>HYPERLINK("https://otsuka-europe-crm.veevavault.com/ui/#object/user__sys/27667802", "Nicola Fiorese")</f>
        <v>Nicola Fiorese</v>
      </c>
      <c r="E92" s="2" t="str">
        <f>HYPERLINK("https://otsuka-europe-crm.veevavault.com/ui/#object/account__v/V4TZ06G6O71SA5F", "FRANCESCA BONERA")</f>
        <v>FRANCESCA BONERA</v>
      </c>
      <c r="F92" s="4">
        <v>45837.386655092596</v>
      </c>
      <c r="G92" s="2" t="str">
        <f>HYPERLINK("https://otsuka-europe-crm.veevavault.com/ui/#object/approved_document__v/V5OZ025E82IBS8L", "Otsuka_unbranded_AE FAD Federserd-IT-AM-2400028")</f>
        <v>Otsuka_unbranded_AE FAD Federserd-IT-AM-2400028</v>
      </c>
      <c r="H92" s="3" t="s">
        <v>12</v>
      </c>
      <c r="I92" s="2" t="str">
        <f t="shared" si="15"/>
        <v>Integration User</v>
      </c>
    </row>
    <row r="93" spans="1:9" x14ac:dyDescent="0.2">
      <c r="A93" s="2" t="str">
        <f>HYPERLINK("https://otsuka-europe-crm.veevavault.com/ui/#object/multichannel_activity__v/V9VZ025E828PRU1", "MCA-000025045")</f>
        <v>MCA-000025045</v>
      </c>
      <c r="B93" s="3" t="s">
        <v>9</v>
      </c>
      <c r="C93" s="2" t="str">
        <f>HYPERLINK("https://otsuka-europe-crm.veevavault.com/ui/#object/sent_email__v/VBLZ025E82EPA0H", "SE-000244214")</f>
        <v>SE-000244214</v>
      </c>
      <c r="D93" s="2" t="str">
        <f>HYPERLINK("https://otsuka-europe-crm.veevavault.com/ui/#object/user__sys/27667802", "Nicola Fiorese")</f>
        <v>Nicola Fiorese</v>
      </c>
      <c r="E93" s="2" t="str">
        <f>HYPERLINK("https://otsuka-europe-crm.veevavault.com/ui/#object/account__v/V4TZ06G6O71SA5F", "FRANCESCA BONERA")</f>
        <v>FRANCESCA BONERA</v>
      </c>
      <c r="F93" s="4">
        <v>45837.386655092596</v>
      </c>
      <c r="G93" s="2" t="str">
        <f>HYPERLINK("https://otsuka-europe-crm.veevavault.com/ui/#object/approved_document__v/V5OZ025E82IBS8L", "Otsuka_unbranded_AE FAD Federserd-IT-AM-2400028")</f>
        <v>Otsuka_unbranded_AE FAD Federserd-IT-AM-2400028</v>
      </c>
      <c r="H93" s="3" t="s">
        <v>12</v>
      </c>
      <c r="I93" s="2" t="str">
        <f t="shared" si="15"/>
        <v>Integration User</v>
      </c>
    </row>
    <row r="94" spans="1:9" x14ac:dyDescent="0.2">
      <c r="A94" s="2" t="str">
        <f>HYPERLINK("https://otsuka-europe-crm.veevavault.com/ui/#object/multichannel_activity__v/V9VZ025E828RBUP", "MCA-000025151")</f>
        <v>MCA-000025151</v>
      </c>
      <c r="B94" s="3" t="s">
        <v>9</v>
      </c>
      <c r="C94" s="2" t="str">
        <f>HYPERLINK("https://otsuka-europe-crm.veevavault.com/ui/#object/sent_email__v/VBLZ025E82EWPDH", "SE-000245612")</f>
        <v>SE-000245612</v>
      </c>
      <c r="D94" s="2" t="str">
        <f>HYPERLINK("https://otsuka-europe-crm.veevavault.com/ui/#object/user__sys/27667820", "Miriam Bechagra")</f>
        <v>Miriam Bechagra</v>
      </c>
      <c r="E94" s="2" t="str">
        <f>HYPERLINK("https://otsuka-europe-crm.veevavault.com/ui/#object/account__v/V4TZ025E87501CG", "FILIPPO BUCCIARELLI")</f>
        <v>FILIPPO BUCCIARELLI</v>
      </c>
      <c r="F94" s="4">
        <v>45845.390509259261</v>
      </c>
      <c r="G94" s="2" t="str">
        <f>HYPERLINK("https://otsuka-europe-crm.veevavault.com/ui/#object/approved_document__v/V5OZ025E82N7BDI", "IT-AM2-2400012 - Abilify 960 lancio_v2")</f>
        <v>IT-AM2-2400012 - Abilify 960 lancio_v2</v>
      </c>
      <c r="H94" s="3" t="s">
        <v>11</v>
      </c>
      <c r="I94" s="2" t="str">
        <f t="shared" si="15"/>
        <v>Integration User</v>
      </c>
    </row>
    <row r="95" spans="1:9" x14ac:dyDescent="0.2">
      <c r="A95" s="2" t="str">
        <f>HYPERLINK("https://otsuka-europe-crm.veevavault.com/ui/#object/multichannel_activity__v/V9VZ025E828RC09", "MCA-000025152")</f>
        <v>MCA-000025152</v>
      </c>
      <c r="B95" s="3" t="s">
        <v>9</v>
      </c>
      <c r="C95" s="2" t="str">
        <f>HYPERLINK("https://otsuka-europe-crm.veevavault.com/ui/#object/sent_email__v/VBLZ025E82EWPWX", "SE-000245616")</f>
        <v>SE-000245616</v>
      </c>
      <c r="D95" s="2" t="str">
        <f>HYPERLINK("https://otsuka-europe-crm.veevavault.com/ui/#object/user__sys/27667820", "Miriam Bechagra")</f>
        <v>Miriam Bechagra</v>
      </c>
      <c r="E95" s="2" t="str">
        <f>HYPERLINK("https://otsuka-europe-crm.veevavault.com/ui/#object/account__v/V4TZ025E86HLDP6", "ANGELICA DEL VECCHIO")</f>
        <v>ANGELICA DEL VECCHIO</v>
      </c>
      <c r="F95" s="4">
        <v>45845.392199074071</v>
      </c>
      <c r="G95" s="2" t="str">
        <f>HYPERLINK("https://otsuka-europe-crm.veevavault.com/ui/#object/approved_document__v/V5OZ025E82N7BDI", "IT-AM2-2400012 - Abilify 960 lancio_v2")</f>
        <v>IT-AM2-2400012 - Abilify 960 lancio_v2</v>
      </c>
      <c r="H95" s="3" t="s">
        <v>11</v>
      </c>
      <c r="I95" s="2" t="str">
        <f t="shared" si="15"/>
        <v>Integration User</v>
      </c>
    </row>
    <row r="96" spans="1:9" x14ac:dyDescent="0.2">
      <c r="A96" s="2" t="str">
        <f>HYPERLINK("https://otsuka-europe-crm.veevavault.com/ui/#object/multichannel_activity__v/V9VZ025E828S361", "MCA-000025213")</f>
        <v>MCA-000025213</v>
      </c>
      <c r="B96" s="3" t="s">
        <v>9</v>
      </c>
      <c r="C96" s="2" t="str">
        <f>HYPERLINK("https://otsuka-europe-crm.veevavault.com/ui/#object/sent_email__v/VBLZ025E82F1ZF5", "SE-000246030")</f>
        <v>SE-000246030</v>
      </c>
      <c r="D96" s="2" t="str">
        <f>HYPERLINK("https://otsuka-europe-crm.veevavault.com/ui/#object/user__sys/24058125", "Anna Schoggl")</f>
        <v>Anna Schoggl</v>
      </c>
      <c r="E96" s="2" t="str">
        <f>HYPERLINK("https://otsuka-europe-crm.veevavault.com/ui/#object/account__v/V4TZ06G6OA5WQFG", "TEST OPSA HCP TEST OPSA HCP")</f>
        <v>TEST OPSA HCP TEST OPSA HCP</v>
      </c>
      <c r="F96" s="4">
        <v>45848.667349537034</v>
      </c>
      <c r="G96" s="2" t="str">
        <f>HYPERLINK("https://otsuka-europe-crm.veevavault.com/ui/#object/approved_document__v/V5OZ025E82R072P", "TEST VAE TOKENS")</f>
        <v>TEST VAE TOKENS</v>
      </c>
      <c r="H96" s="3" t="s">
        <v>21</v>
      </c>
      <c r="I96" s="2" t="str">
        <f t="shared" si="15"/>
        <v>Integration User</v>
      </c>
    </row>
    <row r="97" spans="1:9" x14ac:dyDescent="0.2">
      <c r="A97" s="2" t="str">
        <f>HYPERLINK("https://otsuka-europe-crm.veevavault.com/ui/#object/multichannel_activity__v/V9VZ025E828S38T", "MCA-000025214")</f>
        <v>MCA-000025214</v>
      </c>
      <c r="B97" s="3" t="s">
        <v>9</v>
      </c>
      <c r="C97" s="2" t="str">
        <f>HYPERLINK("https://otsuka-europe-crm.veevavault.com/ui/#object/sent_email__v/VBLZ025E82F1ZF5", "SE-000246030")</f>
        <v>SE-000246030</v>
      </c>
      <c r="D97" s="2" t="str">
        <f>HYPERLINK("https://otsuka-europe-crm.veevavault.com/ui/#object/user__sys/24058125", "Anna Schoggl")</f>
        <v>Anna Schoggl</v>
      </c>
      <c r="E97" s="2" t="str">
        <f>HYPERLINK("https://otsuka-europe-crm.veevavault.com/ui/#object/account__v/V4TZ06G6OA5WQFG", "TEST OPSA HCP TEST OPSA HCP")</f>
        <v>TEST OPSA HCP TEST OPSA HCP</v>
      </c>
      <c r="F97" s="4">
        <v>45848.667349537034</v>
      </c>
      <c r="G97" s="2" t="str">
        <f>HYPERLINK("https://otsuka-europe-crm.veevavault.com/ui/#object/approved_document__v/V5OZ025E82R072P", "TEST VAE TOKENS")</f>
        <v>TEST VAE TOKENS</v>
      </c>
      <c r="H97" s="3" t="s">
        <v>21</v>
      </c>
      <c r="I97" s="2" t="str">
        <f t="shared" si="15"/>
        <v>Integration User</v>
      </c>
    </row>
    <row r="98" spans="1:9" x14ac:dyDescent="0.2">
      <c r="A98" s="2" t="str">
        <f>HYPERLINK("https://otsuka-europe-crm.veevavault.com/ui/#object/multichannel_activity__v/V9VZ025E828S3BL", "MCA-000025215")</f>
        <v>MCA-000025215</v>
      </c>
      <c r="B98" s="3" t="s">
        <v>13</v>
      </c>
      <c r="C98" s="2" t="str">
        <f>HYPERLINK("https://otsuka-europe-crm.veevavault.com/ui/#object/sent_email__v/VBLZ025E82F1ZF5", "SE-000246030")</f>
        <v>SE-000246030</v>
      </c>
      <c r="D98" s="2" t="str">
        <f>HYPERLINK("https://otsuka-europe-crm.veevavault.com/ui/#object/user__sys/24058125", "Anna Schoggl")</f>
        <v>Anna Schoggl</v>
      </c>
      <c r="E98" s="2" t="str">
        <f>HYPERLINK("https://otsuka-europe-crm.veevavault.com/ui/#object/account__v/V4TZ06G6OA5WQFG", "TEST OPSA HCP TEST OPSA HCP")</f>
        <v>TEST OPSA HCP TEST OPSA HCP</v>
      </c>
      <c r="F98" s="4">
        <v>45848.667349537034</v>
      </c>
      <c r="G98" s="2" t="str">
        <f>HYPERLINK("https://otsuka-europe-crm.veevavault.com/ui/#object/approved_document__v/V5OZ025E82R072P", "TEST VAE TOKENS")</f>
        <v>TEST VAE TOKENS</v>
      </c>
      <c r="H98" s="3" t="s">
        <v>21</v>
      </c>
      <c r="I98" s="2" t="str">
        <f t="shared" si="15"/>
        <v>Integration User</v>
      </c>
    </row>
    <row r="99" spans="1:9" x14ac:dyDescent="0.2">
      <c r="A99" s="2" t="str">
        <f>HYPERLINK("https://otsuka-europe-crm.veevavault.com/ui/#object/multichannel_activity__v/V9VZ025E828SGD1", "MCA-000025225")</f>
        <v>MCA-000025225</v>
      </c>
      <c r="B99" s="3" t="s">
        <v>9</v>
      </c>
      <c r="C99" s="2" t="str">
        <f>HYPERLINK("https://otsuka-europe-crm.veevavault.com/ui/#object/sent_email__v/VBLZ025E82F3Y6D", "SE-000246161")</f>
        <v>SE-000246161</v>
      </c>
      <c r="D99" s="2" t="str">
        <f>HYPERLINK("https://otsuka-europe-crm.veevavault.com/ui/#object/user__sys/27667914", "Patricia Stenert")</f>
        <v>Patricia Stenert</v>
      </c>
      <c r="E99" s="2" t="str">
        <f>HYPERLINK("https://otsuka-europe-crm.veevavault.com/ui/#object/account__v/V4TZ000006352E3", "Rudolf Peceny")</f>
        <v>Rudolf Peceny</v>
      </c>
      <c r="F99" s="4">
        <v>45852.556597222225</v>
      </c>
      <c r="G99" s="2" t="str">
        <f>HYPERLINK("https://otsuka-europe-crm.veevavault.com/ui/#object/approved_document__v/V5OZ025E82QZGAT", "INA VAE DE - Schwerpunkt Publikation ASCERTAIN-Studie")</f>
        <v>INA VAE DE - Schwerpunkt Publikation ASCERTAIN-Studie</v>
      </c>
      <c r="H99" s="3" t="s">
        <v>22</v>
      </c>
      <c r="I99" s="2" t="str">
        <f t="shared" si="15"/>
        <v>Integration User</v>
      </c>
    </row>
    <row r="100" spans="1:9" x14ac:dyDescent="0.2">
      <c r="A100" s="2" t="str">
        <f>HYPERLINK("https://otsuka-europe-crm.veevavault.com/ui/#object/multichannel_activity__v/V9VZ025E828SGFT", "MCA-000025226")</f>
        <v>MCA-000025226</v>
      </c>
      <c r="B100" s="3" t="s">
        <v>13</v>
      </c>
      <c r="C100" s="2" t="str">
        <f>HYPERLINK("https://otsuka-europe-crm.veevavault.com/ui/#object/sent_email__v/VBLZ025E82F3Y6D", "SE-000246161")</f>
        <v>SE-000246161</v>
      </c>
      <c r="D100" s="2" t="str">
        <f>HYPERLINK("https://otsuka-europe-crm.veevavault.com/ui/#object/user__sys/27667914", "Patricia Stenert")</f>
        <v>Patricia Stenert</v>
      </c>
      <c r="E100" s="2" t="str">
        <f>HYPERLINK("https://otsuka-europe-crm.veevavault.com/ui/#object/account__v/V4TZ000006352E3", "Rudolf Peceny")</f>
        <v>Rudolf Peceny</v>
      </c>
      <c r="F100" s="4">
        <v>45852.556597222225</v>
      </c>
      <c r="G100" s="2" t="str">
        <f>HYPERLINK("https://otsuka-europe-crm.veevavault.com/ui/#object/approved_document__v/V5OZ025E82QZGAT", "INA VAE DE - Schwerpunkt Publikation ASCERTAIN-Studie")</f>
        <v>INA VAE DE - Schwerpunkt Publikation ASCERTAIN-Studie</v>
      </c>
      <c r="H100" s="3" t="s">
        <v>22</v>
      </c>
      <c r="I100" s="2" t="str">
        <f t="shared" si="15"/>
        <v>Integration User</v>
      </c>
    </row>
    <row r="101" spans="1:9" x14ac:dyDescent="0.2">
      <c r="A101" s="2" t="str">
        <f>HYPERLINK("https://otsuka-europe-crm.veevavault.com/ui/#object/multichannel_activity__v/V9VZ025E828SY9H", "MCA-000025253")</f>
        <v>MCA-000025253</v>
      </c>
      <c r="B101" s="3" t="s">
        <v>9</v>
      </c>
      <c r="C101" s="2" t="str">
        <f>HYPERLINK("https://otsuka-europe-crm.veevavault.com/ui/#object/sent_email__v/VBLZ025E82F6WQH", "SE-000246334")</f>
        <v>SE-000246334</v>
      </c>
      <c r="D101" s="2" t="str">
        <f t="shared" ref="D101:D117" si="20">HYPERLINK("https://otsuka-europe-crm.veevavault.com/ui/#object/user__sys/27667796", "Annalisa Barozzini")</f>
        <v>Annalisa Barozzini</v>
      </c>
      <c r="E101" s="2" t="str">
        <f>HYPERLINK("https://otsuka-europe-crm.veevavault.com/ui/#object/account__v/V4TZ04ASG8QC5ZV", "VALERIA ACCARDI")</f>
        <v>VALERIA ACCARDI</v>
      </c>
      <c r="F101" s="4">
        <v>45854.618113425924</v>
      </c>
      <c r="G101" s="2" t="str">
        <f t="shared" ref="G101:G109" si="21">HYPERLINK("https://otsuka-europe-crm.veevavault.com/ui/#object/approved_document__v/V5OZ025E82MQEQD", "ABILIFY MAINTENA 960_Unbranded_AE GU_ IT-NPR-2500045")</f>
        <v>ABILIFY MAINTENA 960_Unbranded_AE GU_ IT-NPR-2500045</v>
      </c>
      <c r="H101" s="3" t="s">
        <v>17</v>
      </c>
      <c r="I101" s="2" t="str">
        <f t="shared" si="15"/>
        <v>Integration User</v>
      </c>
    </row>
    <row r="102" spans="1:9" x14ac:dyDescent="0.2">
      <c r="A102" s="2" t="str">
        <f>HYPERLINK("https://otsuka-europe-crm.veevavault.com/ui/#object/multichannel_activity__v/V9VZ025E828SYC9", "MCA-000025254")</f>
        <v>MCA-000025254</v>
      </c>
      <c r="B102" s="3" t="s">
        <v>13</v>
      </c>
      <c r="C102" s="2" t="str">
        <f>HYPERLINK("https://otsuka-europe-crm.veevavault.com/ui/#object/sent_email__v/VBLZ025E82F6WQH", "SE-000246334")</f>
        <v>SE-000246334</v>
      </c>
      <c r="D102" s="2" t="str">
        <f t="shared" si="20"/>
        <v>Annalisa Barozzini</v>
      </c>
      <c r="E102" s="2" t="str">
        <f>HYPERLINK("https://otsuka-europe-crm.veevavault.com/ui/#object/account__v/V4TZ04ASG8QC5ZV", "VALERIA ACCARDI")</f>
        <v>VALERIA ACCARDI</v>
      </c>
      <c r="F102" s="4">
        <v>45854.618113425924</v>
      </c>
      <c r="G102" s="2" t="str">
        <f t="shared" si="21"/>
        <v>ABILIFY MAINTENA 960_Unbranded_AE GU_ IT-NPR-2500045</v>
      </c>
      <c r="H102" s="3" t="s">
        <v>17</v>
      </c>
      <c r="I102" s="2" t="str">
        <f t="shared" si="15"/>
        <v>Integration User</v>
      </c>
    </row>
    <row r="103" spans="1:9" x14ac:dyDescent="0.2">
      <c r="A103" s="2" t="str">
        <f>HYPERLINK("https://otsuka-europe-crm.veevavault.com/ui/#object/multichannel_activity__v/V9VZ025E828SYF1", "MCA-000025255")</f>
        <v>MCA-000025255</v>
      </c>
      <c r="B103" s="3" t="s">
        <v>13</v>
      </c>
      <c r="C103" s="2" t="str">
        <f>HYPERLINK("https://otsuka-europe-crm.veevavault.com/ui/#object/sent_email__v/VBLZ025E82F6WT9", "SE-000246335")</f>
        <v>SE-000246335</v>
      </c>
      <c r="D103" s="2" t="str">
        <f t="shared" si="20"/>
        <v>Annalisa Barozzini</v>
      </c>
      <c r="E103" s="2" t="str">
        <f>HYPERLINK("https://otsuka-europe-crm.veevavault.com/ui/#object/account__v/V4TZ06G6O71S9W2", "ANDREA AFFATICATI")</f>
        <v>ANDREA AFFATICATI</v>
      </c>
      <c r="F103" s="4">
        <v>45854.618356481478</v>
      </c>
      <c r="G103" s="2" t="str">
        <f t="shared" si="21"/>
        <v>ABILIFY MAINTENA 960_Unbranded_AE GU_ IT-NPR-2500045</v>
      </c>
      <c r="H103" s="3" t="s">
        <v>17</v>
      </c>
      <c r="I103" s="2" t="str">
        <f t="shared" si="15"/>
        <v>Integration User</v>
      </c>
    </row>
    <row r="104" spans="1:9" x14ac:dyDescent="0.2">
      <c r="A104" s="2" t="str">
        <f>HYPERLINK("https://otsuka-europe-crm.veevavault.com/ui/#object/multichannel_activity__v/V9VZ025E828SYHT", "MCA-000025256")</f>
        <v>MCA-000025256</v>
      </c>
      <c r="B104" s="3" t="s">
        <v>9</v>
      </c>
      <c r="C104" s="2" t="str">
        <f>HYPERLINK("https://otsuka-europe-crm.veevavault.com/ui/#object/sent_email__v/VBLZ025E82F6WT9", "SE-000246335")</f>
        <v>SE-000246335</v>
      </c>
      <c r="D104" s="2" t="str">
        <f t="shared" si="20"/>
        <v>Annalisa Barozzini</v>
      </c>
      <c r="E104" s="2" t="str">
        <f>HYPERLINK("https://otsuka-europe-crm.veevavault.com/ui/#object/account__v/V4TZ06G6O71S9W2", "ANDREA AFFATICATI")</f>
        <v>ANDREA AFFATICATI</v>
      </c>
      <c r="F104" s="4">
        <v>45854.618356481478</v>
      </c>
      <c r="G104" s="2" t="str">
        <f t="shared" si="21"/>
        <v>ABILIFY MAINTENA 960_Unbranded_AE GU_ IT-NPR-2500045</v>
      </c>
      <c r="H104" s="3" t="s">
        <v>17</v>
      </c>
      <c r="I104" s="2" t="str">
        <f t="shared" si="15"/>
        <v>Integration User</v>
      </c>
    </row>
    <row r="105" spans="1:9" x14ac:dyDescent="0.2">
      <c r="A105" s="2" t="str">
        <f>HYPERLINK("https://otsuka-europe-crm.veevavault.com/ui/#object/multichannel_activity__v/V9VZ025E828SYKL", "MCA-000025257")</f>
        <v>MCA-000025257</v>
      </c>
      <c r="B105" s="3" t="s">
        <v>13</v>
      </c>
      <c r="C105" s="2" t="str">
        <f>HYPERLINK("https://otsuka-europe-crm.veevavault.com/ui/#object/sent_email__v/VBLZ025E82F6WT9", "SE-000246335")</f>
        <v>SE-000246335</v>
      </c>
      <c r="D105" s="2" t="str">
        <f t="shared" si="20"/>
        <v>Annalisa Barozzini</v>
      </c>
      <c r="E105" s="2" t="str">
        <f>HYPERLINK("https://otsuka-europe-crm.veevavault.com/ui/#object/account__v/V4TZ06G6O71S9W2", "ANDREA AFFATICATI")</f>
        <v>ANDREA AFFATICATI</v>
      </c>
      <c r="F105" s="4">
        <v>45854.618356481478</v>
      </c>
      <c r="G105" s="2" t="str">
        <f t="shared" si="21"/>
        <v>ABILIFY MAINTENA 960_Unbranded_AE GU_ IT-NPR-2500045</v>
      </c>
      <c r="H105" s="3" t="s">
        <v>17</v>
      </c>
      <c r="I105" s="2" t="str">
        <f t="shared" si="15"/>
        <v>Integration User</v>
      </c>
    </row>
    <row r="106" spans="1:9" x14ac:dyDescent="0.2">
      <c r="A106" s="2" t="str">
        <f>HYPERLINK("https://otsuka-europe-crm.veevavault.com/ui/#object/multichannel_activity__v/V9VZ025E828SYND", "MCA-000025258")</f>
        <v>MCA-000025258</v>
      </c>
      <c r="B106" s="3" t="s">
        <v>9</v>
      </c>
      <c r="C106" s="2" t="str">
        <f>HYPERLINK("https://otsuka-europe-crm.veevavault.com/ui/#object/sent_email__v/VBLZ025E82F70QX", "SE-000246356")</f>
        <v>SE-000246356</v>
      </c>
      <c r="D106" s="2" t="str">
        <f t="shared" si="20"/>
        <v>Annalisa Barozzini</v>
      </c>
      <c r="E106" s="2" t="str">
        <f t="shared" ref="E106:E113" si="22">HYPERLINK("https://otsuka-europe-crm.veevavault.com/ui/#object/account__v/V4TZ06G6O71SA2B", "SAMANTHA BALDINI")</f>
        <v>SAMANTHA BALDINI</v>
      </c>
      <c r="F106" s="4">
        <v>45854.63559027778</v>
      </c>
      <c r="G106" s="2" t="str">
        <f t="shared" si="21"/>
        <v>ABILIFY MAINTENA 960_Unbranded_AE GU_ IT-NPR-2500045</v>
      </c>
      <c r="H106" s="3" t="s">
        <v>17</v>
      </c>
      <c r="I106" s="2" t="str">
        <f t="shared" si="15"/>
        <v>Integration User</v>
      </c>
    </row>
    <row r="107" spans="1:9" x14ac:dyDescent="0.2">
      <c r="A107" s="2" t="str">
        <f>HYPERLINK("https://otsuka-europe-crm.veevavault.com/ui/#object/multichannel_activity__v/V9VZ025E828SYQ5", "MCA-000025259")</f>
        <v>MCA-000025259</v>
      </c>
      <c r="B107" s="3" t="s">
        <v>13</v>
      </c>
      <c r="C107" s="2" t="str">
        <f>HYPERLINK("https://otsuka-europe-crm.veevavault.com/ui/#object/sent_email__v/VBLZ025E82F70QX", "SE-000246356")</f>
        <v>SE-000246356</v>
      </c>
      <c r="D107" s="2" t="str">
        <f t="shared" si="20"/>
        <v>Annalisa Barozzini</v>
      </c>
      <c r="E107" s="2" t="str">
        <f t="shared" si="22"/>
        <v>SAMANTHA BALDINI</v>
      </c>
      <c r="F107" s="4">
        <v>45854.63559027778</v>
      </c>
      <c r="G107" s="2" t="str">
        <f t="shared" si="21"/>
        <v>ABILIFY MAINTENA 960_Unbranded_AE GU_ IT-NPR-2500045</v>
      </c>
      <c r="H107" s="3" t="s">
        <v>17</v>
      </c>
      <c r="I107" s="2" t="str">
        <f t="shared" si="15"/>
        <v>Integration User</v>
      </c>
    </row>
    <row r="108" spans="1:9" x14ac:dyDescent="0.2">
      <c r="A108" s="2" t="str">
        <f>HYPERLINK("https://otsuka-europe-crm.veevavault.com/ui/#object/multichannel_activity__v/V9VZ025E828SYSX", "MCA-000025260")</f>
        <v>MCA-000025260</v>
      </c>
      <c r="B108" s="3" t="s">
        <v>9</v>
      </c>
      <c r="C108" s="2" t="str">
        <f>HYPERLINK("https://otsuka-europe-crm.veevavault.com/ui/#object/sent_email__v/VBLZ025E82F70WH", "SE-000246357")</f>
        <v>SE-000246357</v>
      </c>
      <c r="D108" s="2" t="str">
        <f t="shared" si="20"/>
        <v>Annalisa Barozzini</v>
      </c>
      <c r="E108" s="2" t="str">
        <f t="shared" si="22"/>
        <v>SAMANTHA BALDINI</v>
      </c>
      <c r="F108" s="4">
        <v>45854.637141203704</v>
      </c>
      <c r="G108" s="2" t="str">
        <f t="shared" si="21"/>
        <v>ABILIFY MAINTENA 960_Unbranded_AE GU_ IT-NPR-2500045</v>
      </c>
      <c r="H108" s="3" t="s">
        <v>17</v>
      </c>
      <c r="I108" s="2" t="str">
        <f t="shared" si="15"/>
        <v>Integration User</v>
      </c>
    </row>
    <row r="109" spans="1:9" x14ac:dyDescent="0.2">
      <c r="A109" s="2" t="str">
        <f>HYPERLINK("https://otsuka-europe-crm.veevavault.com/ui/#object/multichannel_activity__v/V9VZ025E828SYVP", "MCA-000025261")</f>
        <v>MCA-000025261</v>
      </c>
      <c r="B109" s="3" t="s">
        <v>13</v>
      </c>
      <c r="C109" s="2" t="str">
        <f>HYPERLINK("https://otsuka-europe-crm.veevavault.com/ui/#object/sent_email__v/VBLZ025E82F70WH", "SE-000246357")</f>
        <v>SE-000246357</v>
      </c>
      <c r="D109" s="2" t="str">
        <f t="shared" si="20"/>
        <v>Annalisa Barozzini</v>
      </c>
      <c r="E109" s="2" t="str">
        <f t="shared" si="22"/>
        <v>SAMANTHA BALDINI</v>
      </c>
      <c r="F109" s="4">
        <v>45854.637141203704</v>
      </c>
      <c r="G109" s="2" t="str">
        <f t="shared" si="21"/>
        <v>ABILIFY MAINTENA 960_Unbranded_AE GU_ IT-NPR-2500045</v>
      </c>
      <c r="H109" s="3" t="s">
        <v>17</v>
      </c>
      <c r="I109" s="2" t="str">
        <f t="shared" si="15"/>
        <v>Integration User</v>
      </c>
    </row>
    <row r="110" spans="1:9" x14ac:dyDescent="0.2">
      <c r="A110" s="2" t="str">
        <f>HYPERLINK("https://otsuka-europe-crm.veevavault.com/ui/#object/multichannel_activity__v/V9VZ025E828SYYH", "MCA-000025262")</f>
        <v>MCA-000025262</v>
      </c>
      <c r="B110" s="3" t="s">
        <v>9</v>
      </c>
      <c r="C110" s="2" t="str">
        <f>HYPERLINK("https://otsuka-europe-crm.veevavault.com/ui/#object/sent_email__v/VBLZ025E82F7121", "SE-000246358")</f>
        <v>SE-000246358</v>
      </c>
      <c r="D110" s="2" t="str">
        <f t="shared" si="20"/>
        <v>Annalisa Barozzini</v>
      </c>
      <c r="E110" s="2" t="str">
        <f t="shared" si="22"/>
        <v>SAMANTHA BALDINI</v>
      </c>
      <c r="F110" s="4">
        <v>45854.637511574074</v>
      </c>
      <c r="G110" s="2" t="str">
        <f>HYPERLINK("https://otsuka-europe-crm.veevavault.com/ui/#object/approved_document__v/V5OZ025E82IBS8N", "OTSUKA_Unbranded_AE FAD Lingomed - IT-RXU-2400066")</f>
        <v>OTSUKA_Unbranded_AE FAD Lingomed - IT-RXU-2400066</v>
      </c>
      <c r="H110" s="3" t="s">
        <v>14</v>
      </c>
      <c r="I110" s="2" t="str">
        <f t="shared" si="15"/>
        <v>Integration User</v>
      </c>
    </row>
    <row r="111" spans="1:9" x14ac:dyDescent="0.2">
      <c r="A111" s="2" t="str">
        <f>HYPERLINK("https://otsuka-europe-crm.veevavault.com/ui/#object/multichannel_activity__v/V9VZ025E828SZ19", "MCA-000025263")</f>
        <v>MCA-000025263</v>
      </c>
      <c r="B111" s="3" t="s">
        <v>13</v>
      </c>
      <c r="C111" s="2" t="str">
        <f>HYPERLINK("https://otsuka-europe-crm.veevavault.com/ui/#object/sent_email__v/VBLZ025E82F7121", "SE-000246358")</f>
        <v>SE-000246358</v>
      </c>
      <c r="D111" s="2" t="str">
        <f t="shared" si="20"/>
        <v>Annalisa Barozzini</v>
      </c>
      <c r="E111" s="2" t="str">
        <f t="shared" si="22"/>
        <v>SAMANTHA BALDINI</v>
      </c>
      <c r="F111" s="4">
        <v>45854.637511574074</v>
      </c>
      <c r="G111" s="2" t="str">
        <f>HYPERLINK("https://otsuka-europe-crm.veevavault.com/ui/#object/approved_document__v/V5OZ025E82IBS8N", "OTSUKA_Unbranded_AE FAD Lingomed - IT-RXU-2400066")</f>
        <v>OTSUKA_Unbranded_AE FAD Lingomed - IT-RXU-2400066</v>
      </c>
      <c r="H111" s="3" t="s">
        <v>14</v>
      </c>
      <c r="I111" s="2" t="str">
        <f t="shared" si="15"/>
        <v>Integration User</v>
      </c>
    </row>
    <row r="112" spans="1:9" x14ac:dyDescent="0.2">
      <c r="A112" s="2" t="str">
        <f>HYPERLINK("https://otsuka-europe-crm.veevavault.com/ui/#object/multichannel_activity__v/V9VZ025E828SZ41", "MCA-000025264")</f>
        <v>MCA-000025264</v>
      </c>
      <c r="B112" s="3" t="s">
        <v>9</v>
      </c>
      <c r="C112" s="2" t="str">
        <f>HYPERLINK("https://otsuka-europe-crm.veevavault.com/ui/#object/sent_email__v/VBLZ025E82F714T", "SE-000246359")</f>
        <v>SE-000246359</v>
      </c>
      <c r="D112" s="2" t="str">
        <f t="shared" si="20"/>
        <v>Annalisa Barozzini</v>
      </c>
      <c r="E112" s="2" t="str">
        <f t="shared" si="22"/>
        <v>SAMANTHA BALDINI</v>
      </c>
      <c r="F112" s="4">
        <v>45854.637615740743</v>
      </c>
      <c r="G112" s="2" t="str">
        <f>HYPERLINK("https://otsuka-europe-crm.veevavault.com/ui/#object/approved_document__v/V5OZ025E82IBS8L", "Otsuka_unbranded_AE FAD Federserd-IT-AM-2400028")</f>
        <v>Otsuka_unbranded_AE FAD Federserd-IT-AM-2400028</v>
      </c>
      <c r="H112" s="3" t="s">
        <v>12</v>
      </c>
      <c r="I112" s="2" t="str">
        <f t="shared" si="15"/>
        <v>Integration User</v>
      </c>
    </row>
    <row r="113" spans="1:9" x14ac:dyDescent="0.2">
      <c r="A113" s="2" t="str">
        <f>HYPERLINK("https://otsuka-europe-crm.veevavault.com/ui/#object/multichannel_activity__v/V9VZ025E828SZ6T", "MCA-000025265")</f>
        <v>MCA-000025265</v>
      </c>
      <c r="B113" s="3" t="s">
        <v>13</v>
      </c>
      <c r="C113" s="2" t="str">
        <f>HYPERLINK("https://otsuka-europe-crm.veevavault.com/ui/#object/sent_email__v/VBLZ025E82F714T", "SE-000246359")</f>
        <v>SE-000246359</v>
      </c>
      <c r="D113" s="2" t="str">
        <f t="shared" si="20"/>
        <v>Annalisa Barozzini</v>
      </c>
      <c r="E113" s="2" t="str">
        <f t="shared" si="22"/>
        <v>SAMANTHA BALDINI</v>
      </c>
      <c r="F113" s="4">
        <v>45854.637615740743</v>
      </c>
      <c r="G113" s="2" t="str">
        <f>HYPERLINK("https://otsuka-europe-crm.veevavault.com/ui/#object/approved_document__v/V5OZ025E82IBS8L", "Otsuka_unbranded_AE FAD Federserd-IT-AM-2400028")</f>
        <v>Otsuka_unbranded_AE FAD Federserd-IT-AM-2400028</v>
      </c>
      <c r="H113" s="3" t="s">
        <v>12</v>
      </c>
      <c r="I113" s="2" t="str">
        <f t="shared" si="15"/>
        <v>Integration User</v>
      </c>
    </row>
    <row r="114" spans="1:9" x14ac:dyDescent="0.2">
      <c r="A114" s="2" t="str">
        <f>HYPERLINK("https://otsuka-europe-crm.veevavault.com/ui/#object/multichannel_activity__v/V9VZ025E828SZ9L", "MCA-000025266")</f>
        <v>MCA-000025266</v>
      </c>
      <c r="B114" s="3" t="s">
        <v>9</v>
      </c>
      <c r="C114" s="2" t="str">
        <f>HYPERLINK("https://otsuka-europe-crm.veevavault.com/ui/#object/sent_email__v/VBLZ025E82F71D5", "SE-000246361")</f>
        <v>SE-000246361</v>
      </c>
      <c r="D114" s="2" t="str">
        <f t="shared" si="20"/>
        <v>Annalisa Barozzini</v>
      </c>
      <c r="E114" s="2" t="str">
        <f>HYPERLINK("https://otsuka-europe-crm.veevavault.com/ui/#object/account__v/V4TZ06G6O71SC7C", "PIERLUIGI CELLA")</f>
        <v>PIERLUIGI CELLA</v>
      </c>
      <c r="F114" s="4">
        <v>45854.638275462959</v>
      </c>
      <c r="G114" s="2" t="str">
        <f>HYPERLINK("https://otsuka-europe-crm.veevavault.com/ui/#object/approved_document__v/V5OZ025E82IBS8L", "Otsuka_unbranded_AE FAD Federserd-IT-AM-2400028")</f>
        <v>Otsuka_unbranded_AE FAD Federserd-IT-AM-2400028</v>
      </c>
      <c r="H114" s="3" t="s">
        <v>12</v>
      </c>
      <c r="I114" s="2" t="str">
        <f t="shared" si="15"/>
        <v>Integration User</v>
      </c>
    </row>
    <row r="115" spans="1:9" x14ac:dyDescent="0.2">
      <c r="A115" s="2" t="str">
        <f>HYPERLINK("https://otsuka-europe-crm.veevavault.com/ui/#object/multichannel_activity__v/V9VZ025E828SZ42", "MCA-000025267")</f>
        <v>MCA-000025267</v>
      </c>
      <c r="B115" s="3" t="s">
        <v>9</v>
      </c>
      <c r="C115" s="2" t="str">
        <f>HYPERLINK("https://otsuka-europe-crm.veevavault.com/ui/#object/sent_email__v/VBLZ025E82F71AD", "SE-000246360")</f>
        <v>SE-000246360</v>
      </c>
      <c r="D115" s="2" t="str">
        <f t="shared" si="20"/>
        <v>Annalisa Barozzini</v>
      </c>
      <c r="E115" s="2" t="str">
        <f>HYPERLINK("https://otsuka-europe-crm.veevavault.com/ui/#object/account__v/V4TZ06G6O71SC7C", "PIERLUIGI CELLA")</f>
        <v>PIERLUIGI CELLA</v>
      </c>
      <c r="F115" s="4">
        <v>45854.638252314813</v>
      </c>
      <c r="G115" s="2" t="str">
        <f>HYPERLINK("https://otsuka-europe-crm.veevavault.com/ui/#object/approved_document__v/V5OZ025E82IBS8N", "OTSUKA_Unbranded_AE FAD Lingomed - IT-RXU-2400066")</f>
        <v>OTSUKA_Unbranded_AE FAD Lingomed - IT-RXU-2400066</v>
      </c>
      <c r="H115" s="3" t="s">
        <v>14</v>
      </c>
      <c r="I115" s="2" t="str">
        <f t="shared" si="15"/>
        <v>Integration User</v>
      </c>
    </row>
    <row r="116" spans="1:9" x14ac:dyDescent="0.2">
      <c r="A116" s="2" t="str">
        <f>HYPERLINK("https://otsuka-europe-crm.veevavault.com/ui/#object/multichannel_activity__v/V9VZ025E828SZCD", "MCA-000025268")</f>
        <v>MCA-000025268</v>
      </c>
      <c r="B116" s="3" t="s">
        <v>13</v>
      </c>
      <c r="C116" s="2" t="str">
        <f>HYPERLINK("https://otsuka-europe-crm.veevavault.com/ui/#object/sent_email__v/VBLZ025E82F71D5", "SE-000246361")</f>
        <v>SE-000246361</v>
      </c>
      <c r="D116" s="2" t="str">
        <f t="shared" si="20"/>
        <v>Annalisa Barozzini</v>
      </c>
      <c r="E116" s="2" t="str">
        <f>HYPERLINK("https://otsuka-europe-crm.veevavault.com/ui/#object/account__v/V4TZ06G6O71SC7C", "PIERLUIGI CELLA")</f>
        <v>PIERLUIGI CELLA</v>
      </c>
      <c r="F116" s="4">
        <v>45854.638275462959</v>
      </c>
      <c r="G116" s="2" t="str">
        <f>HYPERLINK("https://otsuka-europe-crm.veevavault.com/ui/#object/approved_document__v/V5OZ025E82IBS8L", "Otsuka_unbranded_AE FAD Federserd-IT-AM-2400028")</f>
        <v>Otsuka_unbranded_AE FAD Federserd-IT-AM-2400028</v>
      </c>
      <c r="H116" s="3" t="s">
        <v>12</v>
      </c>
      <c r="I116" s="2" t="str">
        <f t="shared" si="15"/>
        <v>Integration User</v>
      </c>
    </row>
    <row r="117" spans="1:9" x14ac:dyDescent="0.2">
      <c r="A117" s="2" t="str">
        <f>HYPERLINK("https://otsuka-europe-crm.veevavault.com/ui/#object/multichannel_activity__v/V9VZ025E828SZF5", "MCA-000025269")</f>
        <v>MCA-000025269</v>
      </c>
      <c r="B117" s="3" t="s">
        <v>13</v>
      </c>
      <c r="C117" s="2" t="str">
        <f>HYPERLINK("https://otsuka-europe-crm.veevavault.com/ui/#object/sent_email__v/VBLZ025E82F71AD", "SE-000246360")</f>
        <v>SE-000246360</v>
      </c>
      <c r="D117" s="2" t="str">
        <f t="shared" si="20"/>
        <v>Annalisa Barozzini</v>
      </c>
      <c r="E117" s="2" t="str">
        <f>HYPERLINK("https://otsuka-europe-crm.veevavault.com/ui/#object/account__v/V4TZ06G6O71SC7C", "PIERLUIGI CELLA")</f>
        <v>PIERLUIGI CELLA</v>
      </c>
      <c r="F117" s="4">
        <v>45854.638252314813</v>
      </c>
      <c r="G117" s="2" t="str">
        <f>HYPERLINK("https://otsuka-europe-crm.veevavault.com/ui/#object/approved_document__v/V5OZ025E82IBS8N", "OTSUKA_Unbranded_AE FAD Lingomed - IT-RXU-2400066")</f>
        <v>OTSUKA_Unbranded_AE FAD Lingomed - IT-RXU-2400066</v>
      </c>
      <c r="H117" s="3" t="s">
        <v>14</v>
      </c>
      <c r="I117" s="2" t="str">
        <f t="shared" si="15"/>
        <v>Integration User</v>
      </c>
    </row>
    <row r="118" spans="1:9" x14ac:dyDescent="0.2">
      <c r="A118" s="2" t="str">
        <f>HYPERLINK("https://otsuka-europe-crm.veevavault.com/ui/#object/multichannel_activity__v/V9VZ025E828T2W5", "MCA-000025285")</f>
        <v>MCA-000025285</v>
      </c>
      <c r="B118" s="3" t="s">
        <v>13</v>
      </c>
      <c r="C118" s="2" t="str">
        <f>HYPERLINK("https://otsuka-europe-crm.veevavault.com/ui/#object/sent_email__v/VBLZ025E82F7NTH", "SE-000246443")</f>
        <v>SE-000246443</v>
      </c>
      <c r="D118" s="2" t="str">
        <f>HYPERLINK("https://otsuka-europe-crm.veevavault.com/ui/#object/user__sys/27667800", "Gianpaolo Fichera")</f>
        <v>Gianpaolo Fichera</v>
      </c>
      <c r="E118" s="2" t="str">
        <f>HYPERLINK("https://otsuka-europe-crm.veevavault.com/ui/#object/account__v/V4TZ025E82XQF50", "ALESSIO LORENZO CEREGATO")</f>
        <v>ALESSIO LORENZO CEREGATO</v>
      </c>
      <c r="F118" s="4">
        <v>45855.37263888889</v>
      </c>
      <c r="G118" s="2" t="str">
        <f>HYPERLINK("https://otsuka-europe-crm.veevavault.com/ui/#object/approved_document__v/V5OZ025E82IBS8N", "OTSUKA_Unbranded_AE FAD Lingomed - IT-RXU-2400066")</f>
        <v>OTSUKA_Unbranded_AE FAD Lingomed - IT-RXU-2400066</v>
      </c>
      <c r="H118" s="3" t="s">
        <v>14</v>
      </c>
      <c r="I118" s="2" t="str">
        <f t="shared" si="15"/>
        <v>Integration User</v>
      </c>
    </row>
    <row r="119" spans="1:9" x14ac:dyDescent="0.2">
      <c r="A119" s="2" t="str">
        <f>HYPERLINK("https://otsuka-europe-crm.veevavault.com/ui/#object/multichannel_activity__v/V9VZ025E828T2YX", "MCA-000025286")</f>
        <v>MCA-000025286</v>
      </c>
      <c r="B119" s="3" t="s">
        <v>13</v>
      </c>
      <c r="C119" s="2" t="str">
        <f>HYPERLINK("https://otsuka-europe-crm.veevavault.com/ui/#object/sent_email__v/VBLZ025E82F7NTH", "SE-000246443")</f>
        <v>SE-000246443</v>
      </c>
      <c r="D119" s="2" t="str">
        <f>HYPERLINK("https://otsuka-europe-crm.veevavault.com/ui/#object/user__sys/27667800", "Gianpaolo Fichera")</f>
        <v>Gianpaolo Fichera</v>
      </c>
      <c r="E119" s="2" t="str">
        <f>HYPERLINK("https://otsuka-europe-crm.veevavault.com/ui/#object/account__v/V4TZ025E82XQF50", "ALESSIO LORENZO CEREGATO")</f>
        <v>ALESSIO LORENZO CEREGATO</v>
      </c>
      <c r="F119" s="4">
        <v>45855.37263888889</v>
      </c>
      <c r="G119" s="2" t="str">
        <f>HYPERLINK("https://otsuka-europe-crm.veevavault.com/ui/#object/approved_document__v/V5OZ025E82IBS8N", "OTSUKA_Unbranded_AE FAD Lingomed - IT-RXU-2400066")</f>
        <v>OTSUKA_Unbranded_AE FAD Lingomed - IT-RXU-2400066</v>
      </c>
      <c r="H119" s="3" t="s">
        <v>14</v>
      </c>
      <c r="I119" s="2" t="str">
        <f t="shared" si="15"/>
        <v>Integration User</v>
      </c>
    </row>
    <row r="120" spans="1:9" x14ac:dyDescent="0.2">
      <c r="A120" s="2" t="str">
        <f>HYPERLINK("https://otsuka-europe-crm.veevavault.com/ui/#object/multichannel_activity__v/V9VZ025E828T3NX", "MCA-000025288")</f>
        <v>MCA-000025288</v>
      </c>
      <c r="B120" s="3" t="s">
        <v>9</v>
      </c>
      <c r="C120" s="2" t="str">
        <f>HYPERLINK("https://otsuka-europe-crm.veevavault.com/ui/#object/sent_email__v/VBLZ025E82F80JT", "SE-000246530")</f>
        <v>SE-000246530</v>
      </c>
      <c r="D120" s="2" t="str">
        <f>HYPERLINK("https://otsuka-europe-crm.veevavault.com/ui/#object/user__sys/27667854", "Armin Lieb")</f>
        <v>Armin Lieb</v>
      </c>
      <c r="E120" s="2" t="str">
        <f>HYPERLINK("https://otsuka-europe-crm.veevavault.com/ui/#object/account__v/V4TZ000006352IF", "Rudolf Pihusch")</f>
        <v>Rudolf Pihusch</v>
      </c>
      <c r="F120" s="4">
        <v>45855.421458333331</v>
      </c>
      <c r="G120" s="2" t="str">
        <f>HYPERLINK("https://otsuka-europe-crm.veevavault.com/ui/#object/approved_document__v/V5OZ025E82R44L6", "INA VAE DE - Ein- und Umstellung")</f>
        <v>INA VAE DE - Ein- und Umstellung</v>
      </c>
      <c r="H120" s="3" t="s">
        <v>23</v>
      </c>
      <c r="I120" s="2" t="str">
        <f t="shared" si="15"/>
        <v>Integration User</v>
      </c>
    </row>
    <row r="121" spans="1:9" x14ac:dyDescent="0.2">
      <c r="A121" s="2" t="str">
        <f>HYPERLINK("https://otsuka-europe-crm.veevavault.com/ui/#object/multichannel_activity__v/V9VZ025E828T3QP", "MCA-000025289")</f>
        <v>MCA-000025289</v>
      </c>
      <c r="B121" s="3" t="s">
        <v>13</v>
      </c>
      <c r="C121" s="2" t="str">
        <f>HYPERLINK("https://otsuka-europe-crm.veevavault.com/ui/#object/sent_email__v/VBLZ025E82F80JT", "SE-000246530")</f>
        <v>SE-000246530</v>
      </c>
      <c r="D121" s="2" t="str">
        <f>HYPERLINK("https://otsuka-europe-crm.veevavault.com/ui/#object/user__sys/27667854", "Armin Lieb")</f>
        <v>Armin Lieb</v>
      </c>
      <c r="E121" s="2" t="str">
        <f>HYPERLINK("https://otsuka-europe-crm.veevavault.com/ui/#object/account__v/V4TZ000006352IF", "Rudolf Pihusch")</f>
        <v>Rudolf Pihusch</v>
      </c>
      <c r="F121" s="4">
        <v>45855.421458333331</v>
      </c>
      <c r="G121" s="2" t="str">
        <f>HYPERLINK("https://otsuka-europe-crm.veevavault.com/ui/#object/approved_document__v/V5OZ025E82R44L6", "INA VAE DE - Ein- und Umstellung")</f>
        <v>INA VAE DE - Ein- und Umstellung</v>
      </c>
      <c r="H121" s="3" t="s">
        <v>23</v>
      </c>
      <c r="I121" s="2" t="str">
        <f t="shared" si="15"/>
        <v>Integration User</v>
      </c>
    </row>
    <row r="122" spans="1:9" x14ac:dyDescent="0.2">
      <c r="A122" s="2" t="str">
        <f>HYPERLINK("https://otsuka-europe-crm.veevavault.com/ui/#object/multichannel_activity__v/V9VZ025E828T3TH", "MCA-000025290")</f>
        <v>MCA-000025290</v>
      </c>
      <c r="B122" s="3" t="s">
        <v>13</v>
      </c>
      <c r="C122" s="2" t="str">
        <f>HYPERLINK("https://otsuka-europe-crm.veevavault.com/ui/#object/sent_email__v/VBLZ025E82F80JT", "SE-000246530")</f>
        <v>SE-000246530</v>
      </c>
      <c r="D122" s="2" t="str">
        <f>HYPERLINK("https://otsuka-europe-crm.veevavault.com/ui/#object/user__sys/27667854", "Armin Lieb")</f>
        <v>Armin Lieb</v>
      </c>
      <c r="E122" s="2" t="str">
        <f>HYPERLINK("https://otsuka-europe-crm.veevavault.com/ui/#object/account__v/V4TZ000006352IF", "Rudolf Pihusch")</f>
        <v>Rudolf Pihusch</v>
      </c>
      <c r="F122" s="4">
        <v>45855.421458333331</v>
      </c>
      <c r="G122" s="2" t="str">
        <f>HYPERLINK("https://otsuka-europe-crm.veevavault.com/ui/#object/approved_document__v/V5OZ025E82R44L6", "INA VAE DE - Ein- und Umstellung")</f>
        <v>INA VAE DE - Ein- und Umstellung</v>
      </c>
      <c r="H122" s="3" t="s">
        <v>23</v>
      </c>
      <c r="I122" s="2" t="str">
        <f t="shared" si="15"/>
        <v>Integration User</v>
      </c>
    </row>
    <row r="123" spans="1:9" x14ac:dyDescent="0.2">
      <c r="A123" s="2" t="str">
        <f>HYPERLINK("https://otsuka-europe-crm.veevavault.com/ui/#object/multichannel_activity__v/V9VZ025E828T4FP", "MCA-000025291")</f>
        <v>MCA-000025291</v>
      </c>
      <c r="B123" s="3" t="s">
        <v>9</v>
      </c>
      <c r="C123" s="2" t="str">
        <f>HYPERLINK("https://otsuka-europe-crm.veevavault.com/ui/#object/sent_email__v/VBLZ025E82F8715", "SE-000246560")</f>
        <v>SE-000246560</v>
      </c>
      <c r="D123" s="2" t="str">
        <f t="shared" ref="D123:D135" si="23">HYPERLINK("https://otsuka-europe-crm.veevavault.com/ui/#object/user__sys/27667800", "Gianpaolo Fichera")</f>
        <v>Gianpaolo Fichera</v>
      </c>
      <c r="E123" s="2" t="str">
        <f>HYPERLINK("https://otsuka-europe-crm.veevavault.com/ui/#object/account__v/V4TZ025E84IHR61", "MATILDE DEMARCHI")</f>
        <v>MATILDE DEMARCHI</v>
      </c>
      <c r="F123" s="4">
        <v>45855.459189814814</v>
      </c>
      <c r="G123" s="2" t="str">
        <f t="shared" ref="G123:G135" si="24">HYPERLINK("https://otsuka-europe-crm.veevavault.com/ui/#object/approved_document__v/V5OZ025E82IBS8N", "OTSUKA_Unbranded_AE FAD Lingomed - IT-RXU-2400066")</f>
        <v>OTSUKA_Unbranded_AE FAD Lingomed - IT-RXU-2400066</v>
      </c>
      <c r="H123" s="3" t="s">
        <v>14</v>
      </c>
      <c r="I123" s="2" t="str">
        <f t="shared" si="15"/>
        <v>Integration User</v>
      </c>
    </row>
    <row r="124" spans="1:9" x14ac:dyDescent="0.2">
      <c r="A124" s="2" t="str">
        <f>HYPERLINK("https://otsuka-europe-crm.veevavault.com/ui/#object/multichannel_activity__v/V9VZ025E828T4IH", "MCA-000025292")</f>
        <v>MCA-000025292</v>
      </c>
      <c r="B124" s="3" t="s">
        <v>13</v>
      </c>
      <c r="C124" s="2" t="str">
        <f>HYPERLINK("https://otsuka-europe-crm.veevavault.com/ui/#object/sent_email__v/VBLZ025E82F8715", "SE-000246560")</f>
        <v>SE-000246560</v>
      </c>
      <c r="D124" s="2" t="str">
        <f t="shared" si="23"/>
        <v>Gianpaolo Fichera</v>
      </c>
      <c r="E124" s="2" t="str">
        <f>HYPERLINK("https://otsuka-europe-crm.veevavault.com/ui/#object/account__v/V4TZ025E84IHR61", "MATILDE DEMARCHI")</f>
        <v>MATILDE DEMARCHI</v>
      </c>
      <c r="F124" s="4">
        <v>45855.459189814814</v>
      </c>
      <c r="G124" s="2" t="str">
        <f t="shared" si="24"/>
        <v>OTSUKA_Unbranded_AE FAD Lingomed - IT-RXU-2400066</v>
      </c>
      <c r="H124" s="3" t="s">
        <v>14</v>
      </c>
      <c r="I124" s="2" t="str">
        <f t="shared" si="15"/>
        <v>Integration User</v>
      </c>
    </row>
    <row r="125" spans="1:9" x14ac:dyDescent="0.2">
      <c r="A125" s="2" t="str">
        <f>HYPERLINK("https://otsuka-europe-crm.veevavault.com/ui/#object/multichannel_activity__v/V9VZ025E828T4L9", "MCA-000025293")</f>
        <v>MCA-000025293</v>
      </c>
      <c r="B125" s="3" t="s">
        <v>9</v>
      </c>
      <c r="C125" s="2" t="str">
        <f>HYPERLINK("https://otsuka-europe-crm.veevavault.com/ui/#object/sent_email__v/VBLZ025E82F8715", "SE-000246560")</f>
        <v>SE-000246560</v>
      </c>
      <c r="D125" s="2" t="str">
        <f t="shared" si="23"/>
        <v>Gianpaolo Fichera</v>
      </c>
      <c r="E125" s="2" t="str">
        <f>HYPERLINK("https://otsuka-europe-crm.veevavault.com/ui/#object/account__v/V4TZ025E84IHR61", "MATILDE DEMARCHI")</f>
        <v>MATILDE DEMARCHI</v>
      </c>
      <c r="F125" s="4">
        <v>45855.459189814814</v>
      </c>
      <c r="G125" s="2" t="str">
        <f t="shared" si="24"/>
        <v>OTSUKA_Unbranded_AE FAD Lingomed - IT-RXU-2400066</v>
      </c>
      <c r="H125" s="3" t="s">
        <v>14</v>
      </c>
      <c r="I125" s="2" t="str">
        <f t="shared" si="15"/>
        <v>Integration User</v>
      </c>
    </row>
    <row r="126" spans="1:9" x14ac:dyDescent="0.2">
      <c r="A126" s="2" t="str">
        <f>HYPERLINK("https://otsuka-europe-crm.veevavault.com/ui/#object/multichannel_activity__v/V9VZ025E828T4O1", "MCA-000025294")</f>
        <v>MCA-000025294</v>
      </c>
      <c r="B126" s="3" t="s">
        <v>13</v>
      </c>
      <c r="C126" s="2" t="str">
        <f>HYPERLINK("https://otsuka-europe-crm.veevavault.com/ui/#object/sent_email__v/VBLZ025E82F87ND", "SE-000246563")</f>
        <v>SE-000246563</v>
      </c>
      <c r="D126" s="2" t="str">
        <f t="shared" si="23"/>
        <v>Gianpaolo Fichera</v>
      </c>
      <c r="E126" s="2" t="str">
        <f>HYPERLINK("https://otsuka-europe-crm.veevavault.com/ui/#object/account__v/V4TZ04ASGCDGAED", "CECILIA GRIMALDI")</f>
        <v>CECILIA GRIMALDI</v>
      </c>
      <c r="F126" s="4">
        <v>45855.461539351854</v>
      </c>
      <c r="G126" s="2" t="str">
        <f t="shared" si="24"/>
        <v>OTSUKA_Unbranded_AE FAD Lingomed - IT-RXU-2400066</v>
      </c>
      <c r="H126" s="3" t="s">
        <v>14</v>
      </c>
      <c r="I126" s="2" t="str">
        <f t="shared" si="15"/>
        <v>Integration User</v>
      </c>
    </row>
    <row r="127" spans="1:9" x14ac:dyDescent="0.2">
      <c r="A127" s="2" t="str">
        <f>HYPERLINK("https://otsuka-europe-crm.veevavault.com/ui/#object/multichannel_activity__v/V9VZ025E828T4QT", "MCA-000025295")</f>
        <v>MCA-000025295</v>
      </c>
      <c r="B127" s="3" t="s">
        <v>9</v>
      </c>
      <c r="C127" s="2" t="str">
        <f>HYPERLINK("https://otsuka-europe-crm.veevavault.com/ui/#object/sent_email__v/VBLZ025E82F87ND", "SE-000246563")</f>
        <v>SE-000246563</v>
      </c>
      <c r="D127" s="2" t="str">
        <f t="shared" si="23"/>
        <v>Gianpaolo Fichera</v>
      </c>
      <c r="E127" s="2" t="str">
        <f>HYPERLINK("https://otsuka-europe-crm.veevavault.com/ui/#object/account__v/V4TZ04ASGCDGAED", "CECILIA GRIMALDI")</f>
        <v>CECILIA GRIMALDI</v>
      </c>
      <c r="F127" s="4">
        <v>45855.461539351854</v>
      </c>
      <c r="G127" s="2" t="str">
        <f t="shared" si="24"/>
        <v>OTSUKA_Unbranded_AE FAD Lingomed - IT-RXU-2400066</v>
      </c>
      <c r="H127" s="3" t="s">
        <v>14</v>
      </c>
      <c r="I127" s="2" t="str">
        <f t="shared" si="15"/>
        <v>Integration User</v>
      </c>
    </row>
    <row r="128" spans="1:9" x14ac:dyDescent="0.2">
      <c r="A128" s="2" t="str">
        <f>HYPERLINK("https://otsuka-europe-crm.veevavault.com/ui/#object/multichannel_activity__v/V9VZ025E828T4TL", "MCA-000025296")</f>
        <v>MCA-000025296</v>
      </c>
      <c r="B128" s="3" t="s">
        <v>13</v>
      </c>
      <c r="C128" s="2" t="str">
        <f>HYPERLINK("https://otsuka-europe-crm.veevavault.com/ui/#object/sent_email__v/VBLZ025E82F87ND", "SE-000246563")</f>
        <v>SE-000246563</v>
      </c>
      <c r="D128" s="2" t="str">
        <f t="shared" si="23"/>
        <v>Gianpaolo Fichera</v>
      </c>
      <c r="E128" s="2" t="str">
        <f>HYPERLINK("https://otsuka-europe-crm.veevavault.com/ui/#object/account__v/V4TZ04ASGCDGAED", "CECILIA GRIMALDI")</f>
        <v>CECILIA GRIMALDI</v>
      </c>
      <c r="F128" s="4">
        <v>45855.461539351854</v>
      </c>
      <c r="G128" s="2" t="str">
        <f t="shared" si="24"/>
        <v>OTSUKA_Unbranded_AE FAD Lingomed - IT-RXU-2400066</v>
      </c>
      <c r="H128" s="3" t="s">
        <v>14</v>
      </c>
      <c r="I128" s="2" t="str">
        <f t="shared" si="15"/>
        <v>Integration User</v>
      </c>
    </row>
    <row r="129" spans="1:9" x14ac:dyDescent="0.2">
      <c r="A129" s="2" t="str">
        <f>HYPERLINK("https://otsuka-europe-crm.veevavault.com/ui/#object/multichannel_activity__v/V9VZ025E828T4WD", "MCA-000025297")</f>
        <v>MCA-000025297</v>
      </c>
      <c r="B129" s="3" t="s">
        <v>9</v>
      </c>
      <c r="C129" s="2" t="str">
        <f>HYPERLINK("https://otsuka-europe-crm.veevavault.com/ui/#object/sent_email__v/VBLZ025E82F87ND", "SE-000246563")</f>
        <v>SE-000246563</v>
      </c>
      <c r="D129" s="2" t="str">
        <f t="shared" si="23"/>
        <v>Gianpaolo Fichera</v>
      </c>
      <c r="E129" s="2" t="str">
        <f>HYPERLINK("https://otsuka-europe-crm.veevavault.com/ui/#object/account__v/V4TZ04ASGCDGAED", "CECILIA GRIMALDI")</f>
        <v>CECILIA GRIMALDI</v>
      </c>
      <c r="F129" s="4">
        <v>45855.461539351854</v>
      </c>
      <c r="G129" s="2" t="str">
        <f t="shared" si="24"/>
        <v>OTSUKA_Unbranded_AE FAD Lingomed - IT-RXU-2400066</v>
      </c>
      <c r="H129" s="3" t="s">
        <v>14</v>
      </c>
      <c r="I129" s="2" t="str">
        <f t="shared" si="15"/>
        <v>Integration User</v>
      </c>
    </row>
    <row r="130" spans="1:9" x14ac:dyDescent="0.2">
      <c r="A130" s="2" t="str">
        <f>HYPERLINK("https://otsuka-europe-crm.veevavault.com/ui/#object/multichannel_activity__v/V9VZ025E828TK6D", "MCA-000025314")</f>
        <v>MCA-000025314</v>
      </c>
      <c r="B130" s="3" t="s">
        <v>13</v>
      </c>
      <c r="C130" s="2" t="str">
        <f>HYPERLINK("https://otsuka-europe-crm.veevavault.com/ui/#object/sent_email__v/VBLZ025E82F98AT", "SE-000248440")</f>
        <v>SE-000248440</v>
      </c>
      <c r="D130" s="2" t="str">
        <f t="shared" si="23"/>
        <v>Gianpaolo Fichera</v>
      </c>
      <c r="E130" s="2" t="str">
        <f>HYPERLINK("https://otsuka-europe-crm.veevavault.com/ui/#object/account__v/V4TZ025E82WRPG6", "ANDREA MADARO")</f>
        <v>ANDREA MADARO</v>
      </c>
      <c r="F130" s="4">
        <v>45856.340266203704</v>
      </c>
      <c r="G130" s="2" t="str">
        <f t="shared" si="24"/>
        <v>OTSUKA_Unbranded_AE FAD Lingomed - IT-RXU-2400066</v>
      </c>
      <c r="H130" s="3" t="s">
        <v>14</v>
      </c>
      <c r="I130" s="2" t="str">
        <f t="shared" ref="I130:I193" si="25">HYPERLINK("https://otsuka-europe-crm.veevavault.com/ui/#object/user__sys/27667712", "Integration User")</f>
        <v>Integration User</v>
      </c>
    </row>
    <row r="131" spans="1:9" x14ac:dyDescent="0.2">
      <c r="A131" s="2" t="str">
        <f>HYPERLINK("https://otsuka-europe-crm.veevavault.com/ui/#object/multichannel_activity__v/V9VZ025E828TK95", "MCA-000025315")</f>
        <v>MCA-000025315</v>
      </c>
      <c r="B131" s="3" t="s">
        <v>9</v>
      </c>
      <c r="C131" s="2" t="str">
        <f>HYPERLINK("https://otsuka-europe-crm.veevavault.com/ui/#object/sent_email__v/VBLZ025E82F98AT", "SE-000248440")</f>
        <v>SE-000248440</v>
      </c>
      <c r="D131" s="2" t="str">
        <f t="shared" si="23"/>
        <v>Gianpaolo Fichera</v>
      </c>
      <c r="E131" s="2" t="str">
        <f>HYPERLINK("https://otsuka-europe-crm.veevavault.com/ui/#object/account__v/V4TZ025E82WRPG6", "ANDREA MADARO")</f>
        <v>ANDREA MADARO</v>
      </c>
      <c r="F131" s="4">
        <v>45856.340266203704</v>
      </c>
      <c r="G131" s="2" t="str">
        <f t="shared" si="24"/>
        <v>OTSUKA_Unbranded_AE FAD Lingomed - IT-RXU-2400066</v>
      </c>
      <c r="H131" s="3" t="s">
        <v>14</v>
      </c>
      <c r="I131" s="2" t="str">
        <f t="shared" si="25"/>
        <v>Integration User</v>
      </c>
    </row>
    <row r="132" spans="1:9" x14ac:dyDescent="0.2">
      <c r="A132" s="2" t="str">
        <f>HYPERLINK("https://otsuka-europe-crm.veevavault.com/ui/#object/multichannel_activity__v/V9VZ025E828TKBX", "MCA-000025316")</f>
        <v>MCA-000025316</v>
      </c>
      <c r="B132" s="3" t="s">
        <v>9</v>
      </c>
      <c r="C132" s="2" t="str">
        <f>HYPERLINK("https://otsuka-europe-crm.veevavault.com/ui/#object/sent_email__v/VBLZ025E82F99J9", "SE-000248456")</f>
        <v>SE-000248456</v>
      </c>
      <c r="D132" s="2" t="str">
        <f t="shared" si="23"/>
        <v>Gianpaolo Fichera</v>
      </c>
      <c r="E132" s="2" t="str">
        <f>HYPERLINK("https://otsuka-europe-crm.veevavault.com/ui/#object/account__v/V4TZ04ASGBCISJ5", "CHIARA PICCO")</f>
        <v>CHIARA PICCO</v>
      </c>
      <c r="F132" s="4">
        <v>45856.346956018519</v>
      </c>
      <c r="G132" s="2" t="str">
        <f t="shared" si="24"/>
        <v>OTSUKA_Unbranded_AE FAD Lingomed - IT-RXU-2400066</v>
      </c>
      <c r="H132" s="3" t="s">
        <v>14</v>
      </c>
      <c r="I132" s="2" t="str">
        <f t="shared" si="25"/>
        <v>Integration User</v>
      </c>
    </row>
    <row r="133" spans="1:9" x14ac:dyDescent="0.2">
      <c r="A133" s="2" t="str">
        <f>HYPERLINK("https://otsuka-europe-crm.veevavault.com/ui/#object/multichannel_activity__v/V9VZ025E828TKEP", "MCA-000025317")</f>
        <v>MCA-000025317</v>
      </c>
      <c r="B133" s="3" t="s">
        <v>13</v>
      </c>
      <c r="C133" s="2" t="str">
        <f>HYPERLINK("https://otsuka-europe-crm.veevavault.com/ui/#object/sent_email__v/VBLZ025E82F99J9", "SE-000248456")</f>
        <v>SE-000248456</v>
      </c>
      <c r="D133" s="2" t="str">
        <f t="shared" si="23"/>
        <v>Gianpaolo Fichera</v>
      </c>
      <c r="E133" s="2" t="str">
        <f>HYPERLINK("https://otsuka-europe-crm.veevavault.com/ui/#object/account__v/V4TZ04ASGBCISJ5", "CHIARA PICCO")</f>
        <v>CHIARA PICCO</v>
      </c>
      <c r="F133" s="4">
        <v>45856.346956018519</v>
      </c>
      <c r="G133" s="2" t="str">
        <f t="shared" si="24"/>
        <v>OTSUKA_Unbranded_AE FAD Lingomed - IT-RXU-2400066</v>
      </c>
      <c r="H133" s="3" t="s">
        <v>14</v>
      </c>
      <c r="I133" s="2" t="str">
        <f t="shared" si="25"/>
        <v>Integration User</v>
      </c>
    </row>
    <row r="134" spans="1:9" x14ac:dyDescent="0.2">
      <c r="A134" s="2" t="str">
        <f>HYPERLINK("https://otsuka-europe-crm.veevavault.com/ui/#object/multichannel_activity__v/V9VZ025E828TKHH", "MCA-000025318")</f>
        <v>MCA-000025318</v>
      </c>
      <c r="B134" s="3" t="s">
        <v>13</v>
      </c>
      <c r="C134" s="2" t="str">
        <f>HYPERLINK("https://otsuka-europe-crm.veevavault.com/ui/#object/sent_email__v/VBLZ025E82F99J9", "SE-000248456")</f>
        <v>SE-000248456</v>
      </c>
      <c r="D134" s="2" t="str">
        <f t="shared" si="23"/>
        <v>Gianpaolo Fichera</v>
      </c>
      <c r="E134" s="2" t="str">
        <f>HYPERLINK("https://otsuka-europe-crm.veevavault.com/ui/#object/account__v/V4TZ04ASGBCISJ5", "CHIARA PICCO")</f>
        <v>CHIARA PICCO</v>
      </c>
      <c r="F134" s="4">
        <v>45856.346956018519</v>
      </c>
      <c r="G134" s="2" t="str">
        <f t="shared" si="24"/>
        <v>OTSUKA_Unbranded_AE FAD Lingomed - IT-RXU-2400066</v>
      </c>
      <c r="H134" s="3" t="s">
        <v>14</v>
      </c>
      <c r="I134" s="2" t="str">
        <f t="shared" si="25"/>
        <v>Integration User</v>
      </c>
    </row>
    <row r="135" spans="1:9" x14ac:dyDescent="0.2">
      <c r="A135" s="2" t="str">
        <f>HYPERLINK("https://otsuka-europe-crm.veevavault.com/ui/#object/multichannel_activity__v/V9VZ025E828TKK9", "MCA-000025319")</f>
        <v>MCA-000025319</v>
      </c>
      <c r="B135" s="3" t="s">
        <v>9</v>
      </c>
      <c r="C135" s="2" t="str">
        <f>HYPERLINK("https://otsuka-europe-crm.veevavault.com/ui/#object/sent_email__v/VBLZ025E82F99J9", "SE-000248456")</f>
        <v>SE-000248456</v>
      </c>
      <c r="D135" s="2" t="str">
        <f t="shared" si="23"/>
        <v>Gianpaolo Fichera</v>
      </c>
      <c r="E135" s="2" t="str">
        <f>HYPERLINK("https://otsuka-europe-crm.veevavault.com/ui/#object/account__v/V4TZ04ASGBCISJ5", "CHIARA PICCO")</f>
        <v>CHIARA PICCO</v>
      </c>
      <c r="F135" s="4">
        <v>45856.346956018519</v>
      </c>
      <c r="G135" s="2" t="str">
        <f t="shared" si="24"/>
        <v>OTSUKA_Unbranded_AE FAD Lingomed - IT-RXU-2400066</v>
      </c>
      <c r="H135" s="3" t="s">
        <v>14</v>
      </c>
      <c r="I135" s="2" t="str">
        <f t="shared" si="25"/>
        <v>Integration User</v>
      </c>
    </row>
    <row r="136" spans="1:9" x14ac:dyDescent="0.2">
      <c r="A136" s="2" t="str">
        <f>HYPERLINK("https://otsuka-europe-crm.veevavault.com/ui/#object/multichannel_activity__v/V9VZ025E828TYAP", "MCA-000025349")</f>
        <v>MCA-000025349</v>
      </c>
      <c r="B136" s="3" t="s">
        <v>9</v>
      </c>
      <c r="C136" s="2" t="str">
        <f>HYPERLINK("https://otsuka-europe-crm.veevavault.com/ui/#object/sent_email__v/VBLZ025E82BUNVO", "SE-000201359")</f>
        <v>SE-000201359</v>
      </c>
      <c r="D136" s="2" t="str">
        <f>HYPERLINK("https://otsuka-europe-crm.veevavault.com/ui/#object/user__sys/27667808", "Marina Maccaglia")</f>
        <v>Marina Maccaglia</v>
      </c>
      <c r="E136" s="2" t="str">
        <f>HYPERLINK("https://otsuka-europe-crm.veevavault.com/ui/#object/account__v/V4TZ06G6O71SAGZ", "ALESSIA DI PUCCHIO")</f>
        <v>ALESSIA DI PUCCHIO</v>
      </c>
      <c r="F136" s="4">
        <v>45719.443344907406</v>
      </c>
      <c r="G136" s="2" t="str">
        <f>HYPERLINK("https://otsuka-europe-crm.veevavault.com/ui/#object/approved_document__v/V5OZ025E82FUF15", "IT-AM2-2400012 - Abilify 960 lancio_v2")</f>
        <v>IT-AM2-2400012 - Abilify 960 lancio_v2</v>
      </c>
      <c r="H136" s="3" t="s">
        <v>11</v>
      </c>
      <c r="I136" s="2" t="str">
        <f t="shared" si="25"/>
        <v>Integration User</v>
      </c>
    </row>
    <row r="137" spans="1:9" x14ac:dyDescent="0.2">
      <c r="A137" s="2" t="str">
        <f>HYPERLINK("https://otsuka-europe-crm.veevavault.com/ui/#object/multichannel_activity__v/V9VZ025E828TYDH", "MCA-000025350")</f>
        <v>MCA-000025350</v>
      </c>
      <c r="B137" s="3" t="s">
        <v>13</v>
      </c>
      <c r="C137" s="2" t="str">
        <f>HYPERLINK("https://otsuka-europe-crm.veevavault.com/ui/#object/sent_email__v/VBLZ025E82BUNVO", "SE-000201359")</f>
        <v>SE-000201359</v>
      </c>
      <c r="D137" s="2" t="str">
        <f>HYPERLINK("https://otsuka-europe-crm.veevavault.com/ui/#object/user__sys/27667808", "Marina Maccaglia")</f>
        <v>Marina Maccaglia</v>
      </c>
      <c r="E137" s="2" t="str">
        <f>HYPERLINK("https://otsuka-europe-crm.veevavault.com/ui/#object/account__v/V4TZ06G6O71SAGZ", "ALESSIA DI PUCCHIO")</f>
        <v>ALESSIA DI PUCCHIO</v>
      </c>
      <c r="F137" s="4">
        <v>45719.443344907406</v>
      </c>
      <c r="G137" s="2" t="str">
        <f>HYPERLINK("https://otsuka-europe-crm.veevavault.com/ui/#object/approved_document__v/V5OZ025E82FUF15", "IT-AM2-2400012 - Abilify 960 lancio_v2")</f>
        <v>IT-AM2-2400012 - Abilify 960 lancio_v2</v>
      </c>
      <c r="H137" s="3" t="s">
        <v>11</v>
      </c>
      <c r="I137" s="2" t="str">
        <f t="shared" si="25"/>
        <v>Integration User</v>
      </c>
    </row>
    <row r="138" spans="1:9" x14ac:dyDescent="0.2">
      <c r="A138" s="2" t="str">
        <f>HYPERLINK("https://otsuka-europe-crm.veevavault.com/ui/#object/multichannel_activity__v/V9VZ025E828UOJ5", "MCA-000025391")</f>
        <v>MCA-000025391</v>
      </c>
      <c r="B138" s="3" t="s">
        <v>9</v>
      </c>
      <c r="C138" s="2" t="str">
        <f>HYPERLINK("https://otsuka-europe-crm.veevavault.com/ui/#object/sent_email__v/VBLZ025E82FHWQ1", "SE-000250964")</f>
        <v>SE-000250964</v>
      </c>
      <c r="D138" s="2" t="str">
        <f>HYPERLINK("https://otsuka-europe-crm.veevavault.com/ui/#object/user__sys/27667796", "Annalisa Barozzini")</f>
        <v>Annalisa Barozzini</v>
      </c>
      <c r="E138" s="2" t="str">
        <f>HYPERLINK("https://otsuka-europe-crm.veevavault.com/ui/#object/account__v/V4TZ06G6O71SANJ", "FIORENZA FIORINI")</f>
        <v>FIORENZA FIORINI</v>
      </c>
      <c r="F138" s="4">
        <v>45865.741354166668</v>
      </c>
      <c r="G138" s="2" t="str">
        <f>HYPERLINK("https://otsuka-europe-crm.veevavault.com/ui/#object/approved_document__v/V5OZ025E82MQEQD", "ABILIFY MAINTENA 960_Unbranded_AE GU_ IT-NPR-2500045")</f>
        <v>ABILIFY MAINTENA 960_Unbranded_AE GU_ IT-NPR-2500045</v>
      </c>
      <c r="H138" s="3" t="s">
        <v>17</v>
      </c>
      <c r="I138" s="2" t="str">
        <f t="shared" si="25"/>
        <v>Integration User</v>
      </c>
    </row>
    <row r="139" spans="1:9" x14ac:dyDescent="0.2">
      <c r="A139" s="2" t="str">
        <f>HYPERLINK("https://otsuka-europe-crm.veevavault.com/ui/#object/multichannel_activity__v/V9VZ025E828UOLX", "MCA-000025392")</f>
        <v>MCA-000025392</v>
      </c>
      <c r="B139" s="3" t="s">
        <v>13</v>
      </c>
      <c r="C139" s="2" t="str">
        <f>HYPERLINK("https://otsuka-europe-crm.veevavault.com/ui/#object/sent_email__v/VBLZ025E82FHWQ1", "SE-000250964")</f>
        <v>SE-000250964</v>
      </c>
      <c r="D139" s="2" t="str">
        <f>HYPERLINK("https://otsuka-europe-crm.veevavault.com/ui/#object/user__sys/27667796", "Annalisa Barozzini")</f>
        <v>Annalisa Barozzini</v>
      </c>
      <c r="E139" s="2" t="str">
        <f>HYPERLINK("https://otsuka-europe-crm.veevavault.com/ui/#object/account__v/V4TZ06G6O71SANJ", "FIORENZA FIORINI")</f>
        <v>FIORENZA FIORINI</v>
      </c>
      <c r="F139" s="4">
        <v>45865.741354166668</v>
      </c>
      <c r="G139" s="2" t="str">
        <f>HYPERLINK("https://otsuka-europe-crm.veevavault.com/ui/#object/approved_document__v/V5OZ025E82MQEQD", "ABILIFY MAINTENA 960_Unbranded_AE GU_ IT-NPR-2500045")</f>
        <v>ABILIFY MAINTENA 960_Unbranded_AE GU_ IT-NPR-2500045</v>
      </c>
      <c r="H139" s="3" t="s">
        <v>17</v>
      </c>
      <c r="I139" s="2" t="str">
        <f t="shared" si="25"/>
        <v>Integration User</v>
      </c>
    </row>
    <row r="140" spans="1:9" x14ac:dyDescent="0.2">
      <c r="A140" s="2" t="str">
        <f>HYPERLINK("https://otsuka-europe-crm.veevavault.com/ui/#object/multichannel_activity__v/V9VZ025E828V4T9", "MCA-000025421")</f>
        <v>MCA-000025421</v>
      </c>
      <c r="B140" s="3" t="s">
        <v>9</v>
      </c>
      <c r="C140" s="2" t="str">
        <f>HYPERLINK("https://otsuka-europe-crm.veevavault.com/ui/#object/sent_email__v/VBLZ025E82FI19X", "SE-000250985")</f>
        <v>SE-000250985</v>
      </c>
      <c r="D140" s="2" t="str">
        <f>HYPERLINK("https://otsuka-europe-crm.veevavault.com/ui/#object/user__sys/27667942", "Laura Mallia")</f>
        <v>Laura Mallia</v>
      </c>
      <c r="E140" s="2" t="str">
        <f>HYPERLINK("https://otsuka-europe-crm.veevavault.com/ui/#object/account__v/V4TZ06G6O71SARI", "CHRISTIAN NICOLA GROPPI")</f>
        <v>CHRISTIAN NICOLA GROPPI</v>
      </c>
      <c r="F140" s="4">
        <v>45866.343333333331</v>
      </c>
      <c r="G140" s="2" t="str">
        <f>HYPERLINK("https://otsuka-europe-crm.veevavault.com/ui/#object/approved_document__v/V5OZ025E82IBS8L", "Otsuka_unbranded_AE FAD Federserd-IT-AM-2400028")</f>
        <v>Otsuka_unbranded_AE FAD Federserd-IT-AM-2400028</v>
      </c>
      <c r="H140" s="3" t="s">
        <v>12</v>
      </c>
      <c r="I140" s="2" t="str">
        <f t="shared" si="25"/>
        <v>Integration User</v>
      </c>
    </row>
    <row r="141" spans="1:9" x14ac:dyDescent="0.2">
      <c r="A141" s="2" t="str">
        <f>HYPERLINK("https://otsuka-europe-crm.veevavault.com/ui/#object/multichannel_activity__v/V9VZ025E828W7S1", "MCA-000025453")</f>
        <v>MCA-000025453</v>
      </c>
      <c r="B141" s="3" t="s">
        <v>9</v>
      </c>
      <c r="C141" s="2" t="str">
        <f>HYPERLINK("https://otsuka-europe-crm.veevavault.com/ui/#object/sent_email__v/VBLZ025E82FUC6D", "SE-000252271")</f>
        <v>SE-000252271</v>
      </c>
      <c r="D141" s="2" t="str">
        <f>HYPERLINK("https://otsuka-europe-crm.veevavault.com/ui/#object/user__sys/27667934", "Valerio Iannarilli")</f>
        <v>Valerio Iannarilli</v>
      </c>
      <c r="E141" s="2" t="str">
        <f>HYPERLINK("https://otsuka-europe-crm.veevavault.com/ui/#object/account__v/V4TZ025E85B0MDJ", "PASQUALE NISCOLA")</f>
        <v>PASQUALE NISCOLA</v>
      </c>
      <c r="F141" s="4">
        <v>45877.65996527778</v>
      </c>
      <c r="G141" s="2" t="str">
        <f>HYPERLINK("https://otsuka-europe-crm.veevavault.com/ui/#object/approved_document__v/V5OZ025E82ODFFB", "AE INAQOVI Informazioni cliniche")</f>
        <v>AE INAQOVI Informazioni cliniche</v>
      </c>
      <c r="H141" s="3" t="s">
        <v>19</v>
      </c>
      <c r="I141" s="2" t="str">
        <f t="shared" si="25"/>
        <v>Integration User</v>
      </c>
    </row>
    <row r="142" spans="1:9" x14ac:dyDescent="0.2">
      <c r="A142" s="2" t="str">
        <f>HYPERLINK("https://otsuka-europe-crm.veevavault.com/ui/#object/multichannel_activity__v/V9VZ025E828W7S2", "MCA-000025454")</f>
        <v>MCA-000025454</v>
      </c>
      <c r="B142" s="3" t="s">
        <v>9</v>
      </c>
      <c r="C142" s="2" t="str">
        <f>HYPERLINK("https://otsuka-europe-crm.veevavault.com/ui/#object/sent_email__v/VBLZ025E82FUC6D", "SE-000252271")</f>
        <v>SE-000252271</v>
      </c>
      <c r="D142" s="2" t="str">
        <f>HYPERLINK("https://otsuka-europe-crm.veevavault.com/ui/#object/user__sys/27667934", "Valerio Iannarilli")</f>
        <v>Valerio Iannarilli</v>
      </c>
      <c r="E142" s="2" t="str">
        <f>HYPERLINK("https://otsuka-europe-crm.veevavault.com/ui/#object/account__v/V4TZ025E85B0MDJ", "PASQUALE NISCOLA")</f>
        <v>PASQUALE NISCOLA</v>
      </c>
      <c r="F142" s="4">
        <v>45877.65996527778</v>
      </c>
      <c r="G142" s="2" t="str">
        <f>HYPERLINK("https://otsuka-europe-crm.veevavault.com/ui/#object/approved_document__v/V5OZ025E82ODFFB", "AE INAQOVI Informazioni cliniche")</f>
        <v>AE INAQOVI Informazioni cliniche</v>
      </c>
      <c r="H142" s="3" t="s">
        <v>19</v>
      </c>
      <c r="I142" s="2" t="str">
        <f t="shared" si="25"/>
        <v>Integration User</v>
      </c>
    </row>
    <row r="143" spans="1:9" x14ac:dyDescent="0.2">
      <c r="A143" s="2" t="str">
        <f>HYPERLINK("https://otsuka-europe-crm.veevavault.com/ui/#object/multichannel_activity__v/V9VZ025E828W7UT", "MCA-000025455")</f>
        <v>MCA-000025455</v>
      </c>
      <c r="B143" s="3" t="s">
        <v>9</v>
      </c>
      <c r="C143" s="2" t="str">
        <f>HYPERLINK("https://otsuka-europe-crm.veevavault.com/ui/#object/sent_email__v/VBLZ025E82FUC6D", "SE-000252271")</f>
        <v>SE-000252271</v>
      </c>
      <c r="D143" s="2" t="str">
        <f>HYPERLINK("https://otsuka-europe-crm.veevavault.com/ui/#object/user__sys/27667934", "Valerio Iannarilli")</f>
        <v>Valerio Iannarilli</v>
      </c>
      <c r="E143" s="2" t="str">
        <f>HYPERLINK("https://otsuka-europe-crm.veevavault.com/ui/#object/account__v/V4TZ025E85B0MDJ", "PASQUALE NISCOLA")</f>
        <v>PASQUALE NISCOLA</v>
      </c>
      <c r="F143" s="4">
        <v>45877.65996527778</v>
      </c>
      <c r="G143" s="2" t="str">
        <f>HYPERLINK("https://otsuka-europe-crm.veevavault.com/ui/#object/approved_document__v/V5OZ025E82ODFFB", "AE INAQOVI Informazioni cliniche")</f>
        <v>AE INAQOVI Informazioni cliniche</v>
      </c>
      <c r="H143" s="3" t="s">
        <v>19</v>
      </c>
      <c r="I143" s="2" t="str">
        <f t="shared" si="25"/>
        <v>Integration User</v>
      </c>
    </row>
    <row r="144" spans="1:9" x14ac:dyDescent="0.2">
      <c r="A144" s="2" t="str">
        <f>HYPERLINK("https://otsuka-europe-crm.veevavault.com/ui/#object/multichannel_activity__v/V9VZ025E828W7XL", "MCA-000025456")</f>
        <v>MCA-000025456</v>
      </c>
      <c r="B144" s="3" t="s">
        <v>9</v>
      </c>
      <c r="C144" s="2" t="str">
        <f>HYPERLINK("https://otsuka-europe-crm.veevavault.com/ui/#object/sent_email__v/VBLZ025E82FUC6D", "SE-000252271")</f>
        <v>SE-000252271</v>
      </c>
      <c r="D144" s="2" t="str">
        <f>HYPERLINK("https://otsuka-europe-crm.veevavault.com/ui/#object/user__sys/27667934", "Valerio Iannarilli")</f>
        <v>Valerio Iannarilli</v>
      </c>
      <c r="E144" s="2" t="str">
        <f>HYPERLINK("https://otsuka-europe-crm.veevavault.com/ui/#object/account__v/V4TZ025E85B0MDJ", "PASQUALE NISCOLA")</f>
        <v>PASQUALE NISCOLA</v>
      </c>
      <c r="F144" s="4">
        <v>45877.65996527778</v>
      </c>
      <c r="G144" s="2" t="str">
        <f>HYPERLINK("https://otsuka-europe-crm.veevavault.com/ui/#object/approved_document__v/V5OZ025E82ODFFB", "AE INAQOVI Informazioni cliniche")</f>
        <v>AE INAQOVI Informazioni cliniche</v>
      </c>
      <c r="H144" s="3" t="s">
        <v>19</v>
      </c>
      <c r="I144" s="2" t="str">
        <f t="shared" si="25"/>
        <v>Integration User</v>
      </c>
    </row>
    <row r="145" spans="1:9" x14ac:dyDescent="0.2">
      <c r="A145" s="2" t="str">
        <f>HYPERLINK("https://otsuka-europe-crm.veevavault.com/ui/#object/multichannel_activity__v/V9VZ025E828XYCT", "MCA-000025550")</f>
        <v>MCA-000025550</v>
      </c>
      <c r="B145" s="3" t="s">
        <v>13</v>
      </c>
      <c r="C145" s="2" t="str">
        <f>HYPERLINK("https://otsuka-europe-crm.veevavault.com/ui/#object/sent_email__v/VBLZ025E82G711L", "SE-000253809")</f>
        <v>SE-000253809</v>
      </c>
      <c r="D145" s="2" t="str">
        <f>HYPERLINK("https://otsuka-europe-crm.veevavault.com/ui/#object/user__sys/27667800", "Gianpaolo Fichera")</f>
        <v>Gianpaolo Fichera</v>
      </c>
      <c r="E145" s="2" t="str">
        <f>HYPERLINK("https://otsuka-europe-crm.veevavault.com/ui/#object/account__v/V4TZ04ASGBCISJ5", "CHIARA PICCO")</f>
        <v>CHIARA PICCO</v>
      </c>
      <c r="F145" s="4">
        <v>45895.361180555556</v>
      </c>
      <c r="G145" s="2" t="str">
        <f>HYPERLINK("https://otsuka-europe-crm.veevavault.com/ui/#object/approved_document__v/V5OZ025E82IBS8N", "OTSUKA_Unbranded_AE FAD Lingomed - IT-RXU-2400066")</f>
        <v>OTSUKA_Unbranded_AE FAD Lingomed - IT-RXU-2400066</v>
      </c>
      <c r="H145" s="3" t="s">
        <v>14</v>
      </c>
      <c r="I145" s="2" t="str">
        <f t="shared" si="25"/>
        <v>Integration User</v>
      </c>
    </row>
    <row r="146" spans="1:9" x14ac:dyDescent="0.2">
      <c r="A146" s="2" t="str">
        <f>HYPERLINK("https://otsuka-europe-crm.veevavault.com/ui/#object/multichannel_activity__v/V9VZ025E828XYFL", "MCA-000025551")</f>
        <v>MCA-000025551</v>
      </c>
      <c r="B146" s="3" t="s">
        <v>13</v>
      </c>
      <c r="C146" s="2" t="str">
        <f>HYPERLINK("https://otsuka-europe-crm.veevavault.com/ui/#object/sent_email__v/VBLZ025E82G711L", "SE-000253809")</f>
        <v>SE-000253809</v>
      </c>
      <c r="D146" s="2" t="str">
        <f>HYPERLINK("https://otsuka-europe-crm.veevavault.com/ui/#object/user__sys/27667800", "Gianpaolo Fichera")</f>
        <v>Gianpaolo Fichera</v>
      </c>
      <c r="E146" s="2" t="str">
        <f>HYPERLINK("https://otsuka-europe-crm.veevavault.com/ui/#object/account__v/V4TZ04ASGBCISJ5", "CHIARA PICCO")</f>
        <v>CHIARA PICCO</v>
      </c>
      <c r="F146" s="4">
        <v>45895.361180555556</v>
      </c>
      <c r="G146" s="2" t="str">
        <f>HYPERLINK("https://otsuka-europe-crm.veevavault.com/ui/#object/approved_document__v/V5OZ025E82IBS8N", "OTSUKA_Unbranded_AE FAD Lingomed - IT-RXU-2400066")</f>
        <v>OTSUKA_Unbranded_AE FAD Lingomed - IT-RXU-2400066</v>
      </c>
      <c r="H146" s="3" t="s">
        <v>14</v>
      </c>
      <c r="I146" s="2" t="str">
        <f t="shared" si="25"/>
        <v>Integration User</v>
      </c>
    </row>
    <row r="147" spans="1:9" x14ac:dyDescent="0.2">
      <c r="A147" s="2" t="str">
        <f>HYPERLINK("https://otsuka-europe-crm.veevavault.com/ui/#object/multichannel_activity__v/V9VZ025E828XYID", "MCA-000025552")</f>
        <v>MCA-000025552</v>
      </c>
      <c r="B147" s="3" t="s">
        <v>9</v>
      </c>
      <c r="C147" s="2" t="str">
        <f>HYPERLINK("https://otsuka-europe-crm.veevavault.com/ui/#object/sent_email__v/VBLZ025E82G711L", "SE-000253809")</f>
        <v>SE-000253809</v>
      </c>
      <c r="D147" s="2" t="str">
        <f>HYPERLINK("https://otsuka-europe-crm.veevavault.com/ui/#object/user__sys/27667800", "Gianpaolo Fichera")</f>
        <v>Gianpaolo Fichera</v>
      </c>
      <c r="E147" s="2" t="str">
        <f>HYPERLINK("https://otsuka-europe-crm.veevavault.com/ui/#object/account__v/V4TZ04ASGBCISJ5", "CHIARA PICCO")</f>
        <v>CHIARA PICCO</v>
      </c>
      <c r="F147" s="4">
        <v>45895.361180555556</v>
      </c>
      <c r="G147" s="2" t="str">
        <f>HYPERLINK("https://otsuka-europe-crm.veevavault.com/ui/#object/approved_document__v/V5OZ025E82IBS8N", "OTSUKA_Unbranded_AE FAD Lingomed - IT-RXU-2400066")</f>
        <v>OTSUKA_Unbranded_AE FAD Lingomed - IT-RXU-2400066</v>
      </c>
      <c r="H147" s="3" t="s">
        <v>14</v>
      </c>
      <c r="I147" s="2" t="str">
        <f t="shared" si="25"/>
        <v>Integration User</v>
      </c>
    </row>
    <row r="148" spans="1:9" x14ac:dyDescent="0.2">
      <c r="A148" s="2" t="str">
        <f>HYPERLINK("https://otsuka-europe-crm.veevavault.com/ui/#object/multichannel_activity__v/V9VZ025E828XYL5", "MCA-000025553")</f>
        <v>MCA-000025553</v>
      </c>
      <c r="B148" s="3" t="s">
        <v>9</v>
      </c>
      <c r="C148" s="2" t="str">
        <f>HYPERLINK("https://otsuka-europe-crm.veevavault.com/ui/#object/sent_email__v/VBLZ025E82G711L", "SE-000253809")</f>
        <v>SE-000253809</v>
      </c>
      <c r="D148" s="2" t="str">
        <f>HYPERLINK("https://otsuka-europe-crm.veevavault.com/ui/#object/user__sys/27667800", "Gianpaolo Fichera")</f>
        <v>Gianpaolo Fichera</v>
      </c>
      <c r="E148" s="2" t="str">
        <f>HYPERLINK("https://otsuka-europe-crm.veevavault.com/ui/#object/account__v/V4TZ04ASGBCISJ5", "CHIARA PICCO")</f>
        <v>CHIARA PICCO</v>
      </c>
      <c r="F148" s="4">
        <v>45895.361180555556</v>
      </c>
      <c r="G148" s="2" t="str">
        <f>HYPERLINK("https://otsuka-europe-crm.veevavault.com/ui/#object/approved_document__v/V5OZ025E82IBS8N", "OTSUKA_Unbranded_AE FAD Lingomed - IT-RXU-2400066")</f>
        <v>OTSUKA_Unbranded_AE FAD Lingomed - IT-RXU-2400066</v>
      </c>
      <c r="H148" s="3" t="s">
        <v>14</v>
      </c>
      <c r="I148" s="2" t="str">
        <f t="shared" si="25"/>
        <v>Integration User</v>
      </c>
    </row>
    <row r="149" spans="1:9" x14ac:dyDescent="0.2">
      <c r="A149" s="2" t="str">
        <f>HYPERLINK("https://otsuka-europe-crm.veevavault.com/ui/#object/multichannel_activity__v/V9VZ025E828XYNX", "MCA-000025554")</f>
        <v>MCA-000025554</v>
      </c>
      <c r="B149" s="3" t="s">
        <v>13</v>
      </c>
      <c r="C149" s="2" t="str">
        <f>HYPERLINK("https://otsuka-europe-crm.veevavault.com/ui/#object/sent_email__v/VBLZ025E82G72A1", "SE-000253816")</f>
        <v>SE-000253816</v>
      </c>
      <c r="D149" s="2" t="str">
        <f>HYPERLINK("https://otsuka-europe-crm.veevavault.com/ui/#object/user__sys/24058125", "Anna Schoggl")</f>
        <v>Anna Schoggl</v>
      </c>
      <c r="E149" s="2" t="str">
        <f>HYPERLINK("https://otsuka-europe-crm.veevavault.com/ui/#object/account__v/V4TZ06G6OA5WQFG", "TEST OPSA HCP TEST OPSA HCP")</f>
        <v>TEST OPSA HCP TEST OPSA HCP</v>
      </c>
      <c r="F149" s="4">
        <v>45895.371562499997</v>
      </c>
      <c r="G149" s="2" t="str">
        <f>HYPERLINK("https://otsuka-europe-crm.veevavault.com/ui/#object/approved_document__v/V5OZ025E82STKGX", "INA - Episodio 1 Videopodcast Nos Quedamos En Casa")</f>
        <v>INA - Episodio 1 Videopodcast Nos Quedamos En Casa</v>
      </c>
      <c r="H149" s="3" t="s">
        <v>24</v>
      </c>
      <c r="I149" s="2" t="str">
        <f t="shared" si="25"/>
        <v>Integration User</v>
      </c>
    </row>
    <row r="150" spans="1:9" x14ac:dyDescent="0.2">
      <c r="A150" s="2" t="str">
        <f>HYPERLINK("https://otsuka-europe-crm.veevavault.com/ui/#object/multichannel_activity__v/V9VZ025E828XYQP", "MCA-000025555")</f>
        <v>MCA-000025555</v>
      </c>
      <c r="B150" s="3" t="s">
        <v>13</v>
      </c>
      <c r="C150" s="2" t="str">
        <f>HYPERLINK("https://otsuka-europe-crm.veevavault.com/ui/#object/sent_email__v/VBLZ025E82G72A1", "SE-000253816")</f>
        <v>SE-000253816</v>
      </c>
      <c r="D150" s="2" t="str">
        <f>HYPERLINK("https://otsuka-europe-crm.veevavault.com/ui/#object/user__sys/24058125", "Anna Schoggl")</f>
        <v>Anna Schoggl</v>
      </c>
      <c r="E150" s="2" t="str">
        <f>HYPERLINK("https://otsuka-europe-crm.veevavault.com/ui/#object/account__v/V4TZ06G6OA5WQFG", "TEST OPSA HCP TEST OPSA HCP")</f>
        <v>TEST OPSA HCP TEST OPSA HCP</v>
      </c>
      <c r="F150" s="4">
        <v>45895.371562499997</v>
      </c>
      <c r="G150" s="2" t="str">
        <f>HYPERLINK("https://otsuka-europe-crm.veevavault.com/ui/#object/approved_document__v/V5OZ025E82STKGX", "INA - Episodio 1 Videopodcast Nos Quedamos En Casa")</f>
        <v>INA - Episodio 1 Videopodcast Nos Quedamos En Casa</v>
      </c>
      <c r="H150" s="3" t="s">
        <v>24</v>
      </c>
      <c r="I150" s="2" t="str">
        <f t="shared" si="25"/>
        <v>Integration User</v>
      </c>
    </row>
    <row r="151" spans="1:9" x14ac:dyDescent="0.2">
      <c r="A151" s="2" t="str">
        <f>HYPERLINK("https://otsuka-europe-crm.veevavault.com/ui/#object/multichannel_activity__v/V9VZ025E8290HK5", "MCA-000025840")</f>
        <v>MCA-000025840</v>
      </c>
      <c r="B151" s="3" t="s">
        <v>9</v>
      </c>
      <c r="C151" s="2" t="str">
        <f>HYPERLINK("https://otsuka-europe-crm.veevavault.com/ui/#object/sent_email__v/VBLZ025E82C0NGQ", "SE-000203194")</f>
        <v>SE-000203194</v>
      </c>
      <c r="D151" s="2" t="str">
        <f>HYPERLINK("https://otsuka-europe-crm.veevavault.com/ui/#object/user__sys/27667812", "Sandro Vitto")</f>
        <v>Sandro Vitto</v>
      </c>
      <c r="E151" s="2" t="str">
        <f>HYPERLINK("https://otsuka-europe-crm.veevavault.com/ui/#object/account__v/V4TZ06G6O71SC3Z", "GIANLUCA ROBERTO")</f>
        <v>GIANLUCA ROBERTO</v>
      </c>
      <c r="F151" s="4">
        <v>45727.458483796298</v>
      </c>
      <c r="G151" s="2" t="str">
        <f>HYPERLINK("https://otsuka-europe-crm.veevavault.com/ui/#object/approved_document__v/V5OZ025E82IBS8N", "OTSUKA_Unbranded_AE FAD Lingomed - IT-RXU-2400066")</f>
        <v>OTSUKA_Unbranded_AE FAD Lingomed - IT-RXU-2400066</v>
      </c>
      <c r="H151" s="3" t="s">
        <v>14</v>
      </c>
      <c r="I151" s="2" t="str">
        <f t="shared" si="25"/>
        <v>Integration User</v>
      </c>
    </row>
    <row r="152" spans="1:9" x14ac:dyDescent="0.2">
      <c r="A152" s="2" t="str">
        <f>HYPERLINK("https://otsuka-europe-crm.veevavault.com/ui/#object/multichannel_activity__v/V9VZ025E8291KAL", "MCA-000025987")</f>
        <v>MCA-000025987</v>
      </c>
      <c r="B152" s="3" t="s">
        <v>9</v>
      </c>
      <c r="C152" s="2" t="str">
        <f>HYPERLINK("https://otsuka-europe-crm.veevavault.com/ui/#object/sent_email__v/VBLZ025E82GNQL5", "SE-000275461")</f>
        <v>SE-000275461</v>
      </c>
      <c r="D152" s="2" t="str">
        <f>HYPERLINK("https://otsuka-europe-crm.veevavault.com/ui/#object/user__sys/23350261", "Martina Sala Pallares")</f>
        <v>Martina Sala Pallares</v>
      </c>
      <c r="E152" s="2" t="str">
        <f>HYPERLINK("https://otsuka-europe-crm.veevavault.com/ui/#object/account__v/V4TZ06G6OA5WQFG", "TEST OPSA HCP TEST OPSA HCP")</f>
        <v>TEST OPSA HCP TEST OPSA HCP</v>
      </c>
      <c r="F152" s="4">
        <v>45915.427569444444</v>
      </c>
      <c r="G152" s="2" t="str">
        <f>HYPERLINK("https://otsuka-europe-crm.veevavault.com/ui/#object/approved_document__v/V5OZ025E82TMV95", "ENFERMERÍA - PODCAST: Ep. 2 Calma Mental")</f>
        <v>ENFERMERÍA - PODCAST: Ep. 2 Calma Mental</v>
      </c>
      <c r="H152" s="3" t="s">
        <v>25</v>
      </c>
      <c r="I152" s="2" t="str">
        <f t="shared" si="25"/>
        <v>Integration User</v>
      </c>
    </row>
    <row r="153" spans="1:9" x14ac:dyDescent="0.2">
      <c r="A153" s="2" t="str">
        <f>HYPERLINK("https://otsuka-europe-crm.veevavault.com/ui/#object/multichannel_activity__v/V9VZ025E8291KDD", "MCA-000025988")</f>
        <v>MCA-000025988</v>
      </c>
      <c r="B153" s="3" t="s">
        <v>13</v>
      </c>
      <c r="C153" s="2" t="str">
        <f>HYPERLINK("https://otsuka-europe-crm.veevavault.com/ui/#object/sent_email__v/VBLZ025E82GNQL5", "SE-000275461")</f>
        <v>SE-000275461</v>
      </c>
      <c r="D153" s="2" t="str">
        <f>HYPERLINK("https://otsuka-europe-crm.veevavault.com/ui/#object/user__sys/23350261", "Martina Sala Pallares")</f>
        <v>Martina Sala Pallares</v>
      </c>
      <c r="E153" s="2" t="str">
        <f>HYPERLINK("https://otsuka-europe-crm.veevavault.com/ui/#object/account__v/V4TZ06G6OA5WQFG", "TEST OPSA HCP TEST OPSA HCP")</f>
        <v>TEST OPSA HCP TEST OPSA HCP</v>
      </c>
      <c r="F153" s="4">
        <v>45915.427569444444</v>
      </c>
      <c r="G153" s="2" t="str">
        <f>HYPERLINK("https://otsuka-europe-crm.veevavault.com/ui/#object/approved_document__v/V5OZ025E82TMV95", "ENFERMERÍA - PODCAST: Ep. 2 Calma Mental")</f>
        <v>ENFERMERÍA - PODCAST: Ep. 2 Calma Mental</v>
      </c>
      <c r="H153" s="3" t="s">
        <v>25</v>
      </c>
      <c r="I153" s="2" t="str">
        <f t="shared" si="25"/>
        <v>Integration User</v>
      </c>
    </row>
    <row r="154" spans="1:9" x14ac:dyDescent="0.2">
      <c r="A154" s="2" t="str">
        <f>HYPERLINK("https://otsuka-europe-crm.veevavault.com/ui/#object/multichannel_activity__v/V9VZ025E82925FP", "MCA-000026043")</f>
        <v>MCA-000026043</v>
      </c>
      <c r="B154" s="3" t="s">
        <v>9</v>
      </c>
      <c r="C154" s="2" t="str">
        <f>HYPERLINK("https://otsuka-europe-crm.veevavault.com/ui/#object/sent_email__v/VBLZ025E82GQZK9", "SE-000275835")</f>
        <v>SE-000275835</v>
      </c>
      <c r="D154" s="2" t="str">
        <f>HYPERLINK("https://otsuka-europe-crm.veevavault.com/ui/#object/user__sys/23350261", "Martina Sala Pallares")</f>
        <v>Martina Sala Pallares</v>
      </c>
      <c r="E154" s="2" t="str">
        <f>HYPERLINK("https://otsuka-europe-crm.veevavault.com/ui/#object/account__v/V4TZ06G6OA5WQFG", "TEST OPSA HCP TEST OPSA HCP")</f>
        <v>TEST OPSA HCP TEST OPSA HCP</v>
      </c>
      <c r="F154" s="4">
        <v>45917.413773148146</v>
      </c>
      <c r="G154" s="2" t="str">
        <f>HYPERLINK("https://otsuka-europe-crm.veevavault.com/ui/#object/approved_document__v/V5OZ025E82TP0C6", "PSIQUIATRÍA - Guía de Manejo Psicoterapéutico")</f>
        <v>PSIQUIATRÍA - Guía de Manejo Psicoterapéutico</v>
      </c>
      <c r="H154" s="3" t="s">
        <v>26</v>
      </c>
      <c r="I154" s="2" t="str">
        <f t="shared" si="25"/>
        <v>Integration User</v>
      </c>
    </row>
    <row r="155" spans="1:9" x14ac:dyDescent="0.2">
      <c r="A155" s="2" t="str">
        <f>HYPERLINK("https://otsuka-europe-crm.veevavault.com/ui/#object/multichannel_activity__v/V9VZ025E82925IH", "MCA-000026044")</f>
        <v>MCA-000026044</v>
      </c>
      <c r="B155" s="3" t="s">
        <v>9</v>
      </c>
      <c r="C155" s="2" t="str">
        <f>HYPERLINK("https://otsuka-europe-crm.veevavault.com/ui/#object/sent_email__v/VBLZ025E82GQZPT", "SE-000275836")</f>
        <v>SE-000275836</v>
      </c>
      <c r="D155" s="2" t="str">
        <f>HYPERLINK("https://otsuka-europe-crm.veevavault.com/ui/#object/user__sys/23350261", "Martina Sala Pallares")</f>
        <v>Martina Sala Pallares</v>
      </c>
      <c r="E155" s="2" t="str">
        <f>HYPERLINK("https://otsuka-europe-crm.veevavault.com/ui/#object/account__v/V4TZ06G6OA5WQFG", "TEST OPSA HCP TEST OPSA HCP")</f>
        <v>TEST OPSA HCP TEST OPSA HCP</v>
      </c>
      <c r="F155" s="4">
        <v>45917.414224537039</v>
      </c>
      <c r="G155" s="2" t="str">
        <f>HYPERLINK("https://otsuka-europe-crm.veevavault.com/ui/#object/approved_document__v/V5OZ025E82TP0C5", "ENFERMERÍA - Guía de Manejo Psicoterapéutico")</f>
        <v>ENFERMERÍA - Guía de Manejo Psicoterapéutico</v>
      </c>
      <c r="H155" s="3" t="s">
        <v>26</v>
      </c>
      <c r="I155" s="2" t="str">
        <f t="shared" si="25"/>
        <v>Integration User</v>
      </c>
    </row>
    <row r="156" spans="1:9" x14ac:dyDescent="0.2">
      <c r="A156" s="2" t="str">
        <f>HYPERLINK("https://otsuka-europe-crm.veevavault.com/ui/#object/multichannel_activity__v/V9VZ025E829358L", "MCA-000026139")</f>
        <v>MCA-000026139</v>
      </c>
      <c r="B156" s="3" t="s">
        <v>9</v>
      </c>
      <c r="C156" s="2" t="str">
        <f>HYPERLINK("https://otsuka-europe-crm.veevavault.com/ui/#object/sent_email__v/VBLZ025E82GVIDD", "SE-000279471")</f>
        <v>SE-000279471</v>
      </c>
      <c r="D156" s="2" t="str">
        <f>HYPERLINK("https://otsuka-europe-crm.veevavault.com/ui/#object/user__sys/24058125", "Anna Schoggl")</f>
        <v>Anna Schoggl</v>
      </c>
      <c r="E156" s="2" t="str">
        <f>HYPERLINK("https://otsuka-europe-crm.veevavault.com/ui/#object/account__v/V4TZ06G6OA5WQFG", "TEST OPSA HCP TEST OPSA HCP")</f>
        <v>TEST OPSA HCP TEST OPSA HCP</v>
      </c>
      <c r="F156" s="4">
        <v>45922.320810185185</v>
      </c>
      <c r="G156" s="2" t="str">
        <f>HYPERLINK("https://otsuka-europe-crm.veevavault.com/ui/#object/approved_document__v/V5OZ025E82TULND", "INA - Episodio 1 Videopodcast Nos Quedamos En Casa")</f>
        <v>INA - Episodio 1 Videopodcast Nos Quedamos En Casa</v>
      </c>
      <c r="H156" s="3" t="s">
        <v>24</v>
      </c>
      <c r="I156" s="2" t="str">
        <f t="shared" si="25"/>
        <v>Integration User</v>
      </c>
    </row>
    <row r="157" spans="1:9" x14ac:dyDescent="0.2">
      <c r="A157" s="2" t="str">
        <f>HYPERLINK("https://otsuka-europe-crm.veevavault.com/ui/#object/multichannel_activity__v/V9VZ025E82935BD", "MCA-000026140")</f>
        <v>MCA-000026140</v>
      </c>
      <c r="B157" s="3" t="s">
        <v>13</v>
      </c>
      <c r="C157" s="2" t="str">
        <f>HYPERLINK("https://otsuka-europe-crm.veevavault.com/ui/#object/sent_email__v/VBLZ025E82GV2M9", "SE-000278293")</f>
        <v>SE-000278293</v>
      </c>
      <c r="D157" s="2" t="str">
        <f t="shared" ref="D157:D188" si="26">HYPERLINK("https://otsuka-europe-crm.veevavault.com/ui/#object/user__sys/4385075", "Nicoletta Vozza")</f>
        <v>Nicoletta Vozza</v>
      </c>
      <c r="E157" s="2" t="str">
        <f>HYPERLINK("https://otsuka-europe-crm.veevavault.com/ui/#object/account__v/V4TZ06G6O71S9CW", "CAMILLA FINI")</f>
        <v>CAMILLA FINI</v>
      </c>
      <c r="F157" s="4">
        <v>45922.335486111115</v>
      </c>
      <c r="G157" s="2" t="str">
        <f t="shared" ref="G157:G188" si="27">HYPERLINK("https://otsuka-europe-crm.veevavault.com/ui/#object/approved_document__v/V5OZ025E82TSVX5", "AE Masterclass")</f>
        <v>AE Masterclass</v>
      </c>
      <c r="H157" s="3" t="s">
        <v>27</v>
      </c>
      <c r="I157" s="2" t="str">
        <f t="shared" si="25"/>
        <v>Integration User</v>
      </c>
    </row>
    <row r="158" spans="1:9" x14ac:dyDescent="0.2">
      <c r="A158" s="2" t="str">
        <f>HYPERLINK("https://otsuka-europe-crm.veevavault.com/ui/#object/multichannel_activity__v/V9VZ025E82935E5", "MCA-000026141")</f>
        <v>MCA-000026141</v>
      </c>
      <c r="B158" s="3" t="s">
        <v>9</v>
      </c>
      <c r="C158" s="2" t="str">
        <f>HYPERLINK("https://otsuka-europe-crm.veevavault.com/ui/#object/sent_email__v/VBLZ025E82GV2M9", "SE-000278293")</f>
        <v>SE-000278293</v>
      </c>
      <c r="D158" s="2" t="str">
        <f t="shared" si="26"/>
        <v>Nicoletta Vozza</v>
      </c>
      <c r="E158" s="2" t="str">
        <f>HYPERLINK("https://otsuka-europe-crm.veevavault.com/ui/#object/account__v/V4TZ06G6O71S9CW", "CAMILLA FINI")</f>
        <v>CAMILLA FINI</v>
      </c>
      <c r="F158" s="4">
        <v>45922.335486111115</v>
      </c>
      <c r="G158" s="2" t="str">
        <f t="shared" si="27"/>
        <v>AE Masterclass</v>
      </c>
      <c r="H158" s="3" t="s">
        <v>27</v>
      </c>
      <c r="I158" s="2" t="str">
        <f t="shared" si="25"/>
        <v>Integration User</v>
      </c>
    </row>
    <row r="159" spans="1:9" x14ac:dyDescent="0.2">
      <c r="A159" s="2" t="str">
        <f>HYPERLINK("https://otsuka-europe-crm.veevavault.com/ui/#object/multichannel_activity__v/V9VZ025E82935GX", "MCA-000026142")</f>
        <v>MCA-000026142</v>
      </c>
      <c r="B159" s="3" t="s">
        <v>9</v>
      </c>
      <c r="C159" s="2" t="str">
        <f>HYPERLINK("https://otsuka-europe-crm.veevavault.com/ui/#object/sent_email__v/VBLZ025E82GV27F", "SE-000277759")</f>
        <v>SE-000277759</v>
      </c>
      <c r="D159" s="2" t="str">
        <f t="shared" si="26"/>
        <v>Nicoletta Vozza</v>
      </c>
      <c r="E159" s="2" t="str">
        <f>HYPERLINK("https://otsuka-europe-crm.veevavault.com/ui/#object/account__v/V4TZ06G6OB4BJY8", "ALESSANDRA ALONZI")</f>
        <v>ALESSANDRA ALONZI</v>
      </c>
      <c r="F159" s="4">
        <v>45922.33556712963</v>
      </c>
      <c r="G159" s="2" t="str">
        <f t="shared" si="27"/>
        <v>AE Masterclass</v>
      </c>
      <c r="H159" s="3" t="s">
        <v>27</v>
      </c>
      <c r="I159" s="2" t="str">
        <f t="shared" si="25"/>
        <v>Integration User</v>
      </c>
    </row>
    <row r="160" spans="1:9" x14ac:dyDescent="0.2">
      <c r="A160" s="2" t="str">
        <f>HYPERLINK("https://otsuka-europe-crm.veevavault.com/ui/#object/multichannel_activity__v/V9VZ025E82935JP", "MCA-000026143")</f>
        <v>MCA-000026143</v>
      </c>
      <c r="B160" s="3" t="s">
        <v>13</v>
      </c>
      <c r="C160" s="2" t="str">
        <f>HYPERLINK("https://otsuka-europe-crm.veevavault.com/ui/#object/sent_email__v/VBLZ025E82GV27F", "SE-000277759")</f>
        <v>SE-000277759</v>
      </c>
      <c r="D160" s="2" t="str">
        <f t="shared" si="26"/>
        <v>Nicoletta Vozza</v>
      </c>
      <c r="E160" s="2" t="str">
        <f>HYPERLINK("https://otsuka-europe-crm.veevavault.com/ui/#object/account__v/V4TZ06G6OB4BJY8", "ALESSANDRA ALONZI")</f>
        <v>ALESSANDRA ALONZI</v>
      </c>
      <c r="F160" s="4">
        <v>45922.33556712963</v>
      </c>
      <c r="G160" s="2" t="str">
        <f t="shared" si="27"/>
        <v>AE Masterclass</v>
      </c>
      <c r="H160" s="3" t="s">
        <v>27</v>
      </c>
      <c r="I160" s="2" t="str">
        <f t="shared" si="25"/>
        <v>Integration User</v>
      </c>
    </row>
    <row r="161" spans="1:9" x14ac:dyDescent="0.2">
      <c r="A161" s="2" t="str">
        <f>HYPERLINK("https://otsuka-europe-crm.veevavault.com/ui/#object/multichannel_activity__v/V9VZ025E82935MH", "MCA-000026144")</f>
        <v>MCA-000026144</v>
      </c>
      <c r="B161" s="3" t="s">
        <v>13</v>
      </c>
      <c r="C161" s="2" t="str">
        <f>HYPERLINK("https://otsuka-europe-crm.veevavault.com/ui/#object/sent_email__v/VBLZ025E82GV2K5", "SE-000278217")</f>
        <v>SE-000278217</v>
      </c>
      <c r="D161" s="2" t="str">
        <f t="shared" si="26"/>
        <v>Nicoletta Vozza</v>
      </c>
      <c r="E161" s="2" t="str">
        <f>HYPERLINK("https://otsuka-europe-crm.veevavault.com/ui/#object/account__v/V4TZ06G6OBS6AL3", "MARILENA CASABONA")</f>
        <v>MARILENA CASABONA</v>
      </c>
      <c r="F161" s="4">
        <v>45922.335555555554</v>
      </c>
      <c r="G161" s="2" t="str">
        <f t="shared" si="27"/>
        <v>AE Masterclass</v>
      </c>
      <c r="H161" s="3" t="s">
        <v>27</v>
      </c>
      <c r="I161" s="2" t="str">
        <f t="shared" si="25"/>
        <v>Integration User</v>
      </c>
    </row>
    <row r="162" spans="1:9" x14ac:dyDescent="0.2">
      <c r="A162" s="2" t="str">
        <f>HYPERLINK("https://otsuka-europe-crm.veevavault.com/ui/#object/multichannel_activity__v/V9VZ025E82935P9", "MCA-000026145")</f>
        <v>MCA-000026145</v>
      </c>
      <c r="B162" s="3" t="s">
        <v>9</v>
      </c>
      <c r="C162" s="2" t="str">
        <f>HYPERLINK("https://otsuka-europe-crm.veevavault.com/ui/#object/sent_email__v/VBLZ025E82GV2K5", "SE-000278217")</f>
        <v>SE-000278217</v>
      </c>
      <c r="D162" s="2" t="str">
        <f t="shared" si="26"/>
        <v>Nicoletta Vozza</v>
      </c>
      <c r="E162" s="2" t="str">
        <f>HYPERLINK("https://otsuka-europe-crm.veevavault.com/ui/#object/account__v/V4TZ06G6OBS6AL3", "MARILENA CASABONA")</f>
        <v>MARILENA CASABONA</v>
      </c>
      <c r="F162" s="4">
        <v>45922.335555555554</v>
      </c>
      <c r="G162" s="2" t="str">
        <f t="shared" si="27"/>
        <v>AE Masterclass</v>
      </c>
      <c r="H162" s="3" t="s">
        <v>27</v>
      </c>
      <c r="I162" s="2" t="str">
        <f t="shared" si="25"/>
        <v>Integration User</v>
      </c>
    </row>
    <row r="163" spans="1:9" x14ac:dyDescent="0.2">
      <c r="A163" s="2" t="str">
        <f>HYPERLINK("https://otsuka-europe-crm.veevavault.com/ui/#object/multichannel_activity__v/V9VZ025E82935S1", "MCA-000026146")</f>
        <v>MCA-000026146</v>
      </c>
      <c r="B163" s="3" t="s">
        <v>9</v>
      </c>
      <c r="C163" s="2" t="str">
        <f>HYPERLINK("https://otsuka-europe-crm.veevavault.com/ui/#object/sent_email__v/VBLZ025E82GV29G", "SE-000277832")</f>
        <v>SE-000277832</v>
      </c>
      <c r="D163" s="2" t="str">
        <f t="shared" si="26"/>
        <v>Nicoletta Vozza</v>
      </c>
      <c r="E163" s="2" t="str">
        <f>HYPERLINK("https://otsuka-europe-crm.veevavault.com/ui/#object/account__v/V4TZ06G6O71SAM1", "FLAVIA FORATO")</f>
        <v>FLAVIA FORATO</v>
      </c>
      <c r="F163" s="4">
        <v>45922.335625</v>
      </c>
      <c r="G163" s="2" t="str">
        <f t="shared" si="27"/>
        <v>AE Masterclass</v>
      </c>
      <c r="H163" s="3" t="s">
        <v>27</v>
      </c>
      <c r="I163" s="2" t="str">
        <f t="shared" si="25"/>
        <v>Integration User</v>
      </c>
    </row>
    <row r="164" spans="1:9" x14ac:dyDescent="0.2">
      <c r="A164" s="2" t="str">
        <f>HYPERLINK("https://otsuka-europe-crm.veevavault.com/ui/#object/multichannel_activity__v/V9VZ025E82935UT", "MCA-000026147")</f>
        <v>MCA-000026147</v>
      </c>
      <c r="B164" s="3" t="s">
        <v>13</v>
      </c>
      <c r="C164" s="2" t="str">
        <f>HYPERLINK("https://otsuka-europe-crm.veevavault.com/ui/#object/sent_email__v/VBLZ025E82GV29G", "SE-000277832")</f>
        <v>SE-000277832</v>
      </c>
      <c r="D164" s="2" t="str">
        <f t="shared" si="26"/>
        <v>Nicoletta Vozza</v>
      </c>
      <c r="E164" s="2" t="str">
        <f>HYPERLINK("https://otsuka-europe-crm.veevavault.com/ui/#object/account__v/V4TZ06G6O71SAM1", "FLAVIA FORATO")</f>
        <v>FLAVIA FORATO</v>
      </c>
      <c r="F164" s="4">
        <v>45922.335625</v>
      </c>
      <c r="G164" s="2" t="str">
        <f t="shared" si="27"/>
        <v>AE Masterclass</v>
      </c>
      <c r="H164" s="3" t="s">
        <v>27</v>
      </c>
      <c r="I164" s="2" t="str">
        <f t="shared" si="25"/>
        <v>Integration User</v>
      </c>
    </row>
    <row r="165" spans="1:9" x14ac:dyDescent="0.2">
      <c r="A165" s="2" t="str">
        <f>HYPERLINK("https://otsuka-europe-crm.veevavault.com/ui/#object/multichannel_activity__v/V9VZ025E82935XL", "MCA-000026148")</f>
        <v>MCA-000026148</v>
      </c>
      <c r="B165" s="3" t="s">
        <v>9</v>
      </c>
      <c r="C165" s="2" t="str">
        <f>HYPERLINK("https://otsuka-europe-crm.veevavault.com/ui/#object/sent_email__v/VBLZ025E82GV2UC", "SE-000278584")</f>
        <v>SE-000278584</v>
      </c>
      <c r="D165" s="2" t="str">
        <f t="shared" si="26"/>
        <v>Nicoletta Vozza</v>
      </c>
      <c r="E165" s="2" t="str">
        <f>HYPERLINK("https://otsuka-europe-crm.veevavault.com/ui/#object/account__v/V4TZ06G6O71SBIA", "VANINA MIGLIORINI")</f>
        <v>VANINA MIGLIORINI</v>
      </c>
      <c r="F165" s="4">
        <v>45922.335694444446</v>
      </c>
      <c r="G165" s="2" t="str">
        <f t="shared" si="27"/>
        <v>AE Masterclass</v>
      </c>
      <c r="H165" s="3" t="s">
        <v>27</v>
      </c>
      <c r="I165" s="2" t="str">
        <f t="shared" si="25"/>
        <v>Integration User</v>
      </c>
    </row>
    <row r="166" spans="1:9" x14ac:dyDescent="0.2">
      <c r="A166" s="2" t="str">
        <f>HYPERLINK("https://otsuka-europe-crm.veevavault.com/ui/#object/multichannel_activity__v/V9VZ025E829360D", "MCA-000026149")</f>
        <v>MCA-000026149</v>
      </c>
      <c r="B166" s="3" t="s">
        <v>13</v>
      </c>
      <c r="C166" s="2" t="str">
        <f>HYPERLINK("https://otsuka-europe-crm.veevavault.com/ui/#object/sent_email__v/VBLZ025E82GV2UC", "SE-000278584")</f>
        <v>SE-000278584</v>
      </c>
      <c r="D166" s="2" t="str">
        <f t="shared" si="26"/>
        <v>Nicoletta Vozza</v>
      </c>
      <c r="E166" s="2" t="str">
        <f>HYPERLINK("https://otsuka-europe-crm.veevavault.com/ui/#object/account__v/V4TZ06G6O71SBIA", "VANINA MIGLIORINI")</f>
        <v>VANINA MIGLIORINI</v>
      </c>
      <c r="F166" s="4">
        <v>45922.335694444446</v>
      </c>
      <c r="G166" s="2" t="str">
        <f t="shared" si="27"/>
        <v>AE Masterclass</v>
      </c>
      <c r="H166" s="3" t="s">
        <v>27</v>
      </c>
      <c r="I166" s="2" t="str">
        <f t="shared" si="25"/>
        <v>Integration User</v>
      </c>
    </row>
    <row r="167" spans="1:9" x14ac:dyDescent="0.2">
      <c r="A167" s="2" t="str">
        <f>HYPERLINK("https://otsuka-europe-crm.veevavault.com/ui/#object/multichannel_activity__v/V9VZ025E8293635", "MCA-000026150")</f>
        <v>MCA-000026150</v>
      </c>
      <c r="B167" s="3" t="s">
        <v>9</v>
      </c>
      <c r="C167" s="2" t="str">
        <f>HYPERLINK("https://otsuka-europe-crm.veevavault.com/ui/#object/sent_email__v/VBLZ025E82GV29C", "SE-000277828")</f>
        <v>SE-000277828</v>
      </c>
      <c r="D167" s="2" t="str">
        <f t="shared" si="26"/>
        <v>Nicoletta Vozza</v>
      </c>
      <c r="E167" s="2" t="str">
        <f>HYPERLINK("https://otsuka-europe-crm.veevavault.com/ui/#object/account__v/V4TZ06G6O71S9DH", "CHIARA CUOMO")</f>
        <v>CHIARA CUOMO</v>
      </c>
      <c r="F167" s="4">
        <v>45922.335613425923</v>
      </c>
      <c r="G167" s="2" t="str">
        <f t="shared" si="27"/>
        <v>AE Masterclass</v>
      </c>
      <c r="H167" s="3" t="s">
        <v>27</v>
      </c>
      <c r="I167" s="2" t="str">
        <f t="shared" si="25"/>
        <v>Integration User</v>
      </c>
    </row>
    <row r="168" spans="1:9" x14ac:dyDescent="0.2">
      <c r="A168" s="2" t="str">
        <f>HYPERLINK("https://otsuka-europe-crm.veevavault.com/ui/#object/multichannel_activity__v/V9VZ025E829365X", "MCA-000026151")</f>
        <v>MCA-000026151</v>
      </c>
      <c r="B168" s="3" t="s">
        <v>13</v>
      </c>
      <c r="C168" s="2" t="str">
        <f>HYPERLINK("https://otsuka-europe-crm.veevavault.com/ui/#object/sent_email__v/VBLZ025E82GV29C", "SE-000277828")</f>
        <v>SE-000277828</v>
      </c>
      <c r="D168" s="2" t="str">
        <f t="shared" si="26"/>
        <v>Nicoletta Vozza</v>
      </c>
      <c r="E168" s="2" t="str">
        <f>HYPERLINK("https://otsuka-europe-crm.veevavault.com/ui/#object/account__v/V4TZ06G6O71S9DH", "CHIARA CUOMO")</f>
        <v>CHIARA CUOMO</v>
      </c>
      <c r="F168" s="4">
        <v>45922.335613425923</v>
      </c>
      <c r="G168" s="2" t="str">
        <f t="shared" si="27"/>
        <v>AE Masterclass</v>
      </c>
      <c r="H168" s="3" t="s">
        <v>27</v>
      </c>
      <c r="I168" s="2" t="str">
        <f t="shared" si="25"/>
        <v>Integration User</v>
      </c>
    </row>
    <row r="169" spans="1:9" x14ac:dyDescent="0.2">
      <c r="A169" s="2" t="str">
        <f>HYPERLINK("https://otsuka-europe-crm.veevavault.com/ui/#object/multichannel_activity__v/V9VZ025E829368P", "MCA-000026152")</f>
        <v>MCA-000026152</v>
      </c>
      <c r="B169" s="3" t="s">
        <v>13</v>
      </c>
      <c r="C169" s="2" t="str">
        <f>HYPERLINK("https://otsuka-europe-crm.veevavault.com/ui/#object/sent_email__v/VBLZ025E82GV2T7", "SE-000278543")</f>
        <v>SE-000278543</v>
      </c>
      <c r="D169" s="2" t="str">
        <f t="shared" si="26"/>
        <v>Nicoletta Vozza</v>
      </c>
      <c r="E169" s="2" t="str">
        <f>HYPERLINK("https://otsuka-europe-crm.veevavault.com/ui/#object/account__v/V4TZ06G6O71SBSZ", "FRANCESCA PADREVECCHI")</f>
        <v>FRANCESCA PADREVECCHI</v>
      </c>
      <c r="F169" s="4">
        <v>45922.3358912037</v>
      </c>
      <c r="G169" s="2" t="str">
        <f t="shared" si="27"/>
        <v>AE Masterclass</v>
      </c>
      <c r="H169" s="3" t="s">
        <v>27</v>
      </c>
      <c r="I169" s="2" t="str">
        <f t="shared" si="25"/>
        <v>Integration User</v>
      </c>
    </row>
    <row r="170" spans="1:9" x14ac:dyDescent="0.2">
      <c r="A170" s="2" t="str">
        <f>HYPERLINK("https://otsuka-europe-crm.veevavault.com/ui/#object/multichannel_activity__v/V9VZ025E82936BH", "MCA-000026153")</f>
        <v>MCA-000026153</v>
      </c>
      <c r="B170" s="3" t="s">
        <v>9</v>
      </c>
      <c r="C170" s="2" t="str">
        <f>HYPERLINK("https://otsuka-europe-crm.veevavault.com/ui/#object/sent_email__v/VBLZ025E82GV2T7", "SE-000278543")</f>
        <v>SE-000278543</v>
      </c>
      <c r="D170" s="2" t="str">
        <f t="shared" si="26"/>
        <v>Nicoletta Vozza</v>
      </c>
      <c r="E170" s="2" t="str">
        <f>HYPERLINK("https://otsuka-europe-crm.veevavault.com/ui/#object/account__v/V4TZ06G6O71SBSZ", "FRANCESCA PADREVECCHI")</f>
        <v>FRANCESCA PADREVECCHI</v>
      </c>
      <c r="F170" s="4">
        <v>45922.3358912037</v>
      </c>
      <c r="G170" s="2" t="str">
        <f t="shared" si="27"/>
        <v>AE Masterclass</v>
      </c>
      <c r="H170" s="3" t="s">
        <v>27</v>
      </c>
      <c r="I170" s="2" t="str">
        <f t="shared" si="25"/>
        <v>Integration User</v>
      </c>
    </row>
    <row r="171" spans="1:9" x14ac:dyDescent="0.2">
      <c r="A171" s="2" t="str">
        <f>HYPERLINK("https://otsuka-europe-crm.veevavault.com/ui/#object/multichannel_activity__v/V9VZ025E82936E9", "MCA-000026154")</f>
        <v>MCA-000026154</v>
      </c>
      <c r="B171" s="3" t="s">
        <v>9</v>
      </c>
      <c r="C171" s="2" t="str">
        <f>HYPERLINK("https://otsuka-europe-crm.veevavault.com/ui/#object/sent_email__v/VBLZ025E82GV2T9", "SE-000278545")</f>
        <v>SE-000278545</v>
      </c>
      <c r="D171" s="2" t="str">
        <f t="shared" si="26"/>
        <v>Nicoletta Vozza</v>
      </c>
      <c r="E171" s="2" t="str">
        <f>HYPERLINK("https://otsuka-europe-crm.veevavault.com/ui/#object/account__v/V4TZ06G6O71SAZO", "CARLA CARANTI")</f>
        <v>CARLA CARANTI</v>
      </c>
      <c r="F171" s="4">
        <v>45922.335601851853</v>
      </c>
      <c r="G171" s="2" t="str">
        <f t="shared" si="27"/>
        <v>AE Masterclass</v>
      </c>
      <c r="H171" s="3" t="s">
        <v>27</v>
      </c>
      <c r="I171" s="2" t="str">
        <f t="shared" si="25"/>
        <v>Integration User</v>
      </c>
    </row>
    <row r="172" spans="1:9" x14ac:dyDescent="0.2">
      <c r="A172" s="2" t="str">
        <f>HYPERLINK("https://otsuka-europe-crm.veevavault.com/ui/#object/multichannel_activity__v/V9VZ025E82936H1", "MCA-000026155")</f>
        <v>MCA-000026155</v>
      </c>
      <c r="B172" s="3" t="s">
        <v>13</v>
      </c>
      <c r="C172" s="2" t="str">
        <f>HYPERLINK("https://otsuka-europe-crm.veevavault.com/ui/#object/sent_email__v/VBLZ025E82GV2T9", "SE-000278545")</f>
        <v>SE-000278545</v>
      </c>
      <c r="D172" s="2" t="str">
        <f t="shared" si="26"/>
        <v>Nicoletta Vozza</v>
      </c>
      <c r="E172" s="2" t="str">
        <f>HYPERLINK("https://otsuka-europe-crm.veevavault.com/ui/#object/account__v/V4TZ06G6O71SAZO", "CARLA CARANTI")</f>
        <v>CARLA CARANTI</v>
      </c>
      <c r="F172" s="4">
        <v>45922.335601851853</v>
      </c>
      <c r="G172" s="2" t="str">
        <f t="shared" si="27"/>
        <v>AE Masterclass</v>
      </c>
      <c r="H172" s="3" t="s">
        <v>27</v>
      </c>
      <c r="I172" s="2" t="str">
        <f t="shared" si="25"/>
        <v>Integration User</v>
      </c>
    </row>
    <row r="173" spans="1:9" x14ac:dyDescent="0.2">
      <c r="A173" s="2" t="str">
        <f>HYPERLINK("https://otsuka-europe-crm.veevavault.com/ui/#object/multichannel_activity__v/V9VZ025E82936JT", "MCA-000026156")</f>
        <v>MCA-000026156</v>
      </c>
      <c r="B173" s="3" t="s">
        <v>9</v>
      </c>
      <c r="C173" s="2" t="str">
        <f>HYPERLINK("https://otsuka-europe-crm.veevavault.com/ui/#object/sent_email__v/VBLZ025E82GV24O", "SE-000277660")</f>
        <v>SE-000277660</v>
      </c>
      <c r="D173" s="2" t="str">
        <f t="shared" si="26"/>
        <v>Nicoletta Vozza</v>
      </c>
      <c r="E173" s="2" t="str">
        <f>HYPERLINK("https://otsuka-europe-crm.veevavault.com/ui/#object/account__v/V4TZ06G6O71SA6J", "MICHELA BOSIO")</f>
        <v>MICHELA BOSIO</v>
      </c>
      <c r="F173" s="4">
        <v>45922.3356712963</v>
      </c>
      <c r="G173" s="2" t="str">
        <f t="shared" si="27"/>
        <v>AE Masterclass</v>
      </c>
      <c r="H173" s="3" t="s">
        <v>27</v>
      </c>
      <c r="I173" s="2" t="str">
        <f t="shared" si="25"/>
        <v>Integration User</v>
      </c>
    </row>
    <row r="174" spans="1:9" x14ac:dyDescent="0.2">
      <c r="A174" s="2" t="str">
        <f>HYPERLINK("https://otsuka-europe-crm.veevavault.com/ui/#object/multichannel_activity__v/V9VZ025E82936ML", "MCA-000026157")</f>
        <v>MCA-000026157</v>
      </c>
      <c r="B174" s="3" t="s">
        <v>13</v>
      </c>
      <c r="C174" s="2" t="str">
        <f>HYPERLINK("https://otsuka-europe-crm.veevavault.com/ui/#object/sent_email__v/VBLZ025E82GV24O", "SE-000277660")</f>
        <v>SE-000277660</v>
      </c>
      <c r="D174" s="2" t="str">
        <f t="shared" si="26"/>
        <v>Nicoletta Vozza</v>
      </c>
      <c r="E174" s="2" t="str">
        <f>HYPERLINK("https://otsuka-europe-crm.veevavault.com/ui/#object/account__v/V4TZ06G6O71SA6J", "MICHELA BOSIO")</f>
        <v>MICHELA BOSIO</v>
      </c>
      <c r="F174" s="4">
        <v>45922.3356712963</v>
      </c>
      <c r="G174" s="2" t="str">
        <f t="shared" si="27"/>
        <v>AE Masterclass</v>
      </c>
      <c r="H174" s="3" t="s">
        <v>27</v>
      </c>
      <c r="I174" s="2" t="str">
        <f t="shared" si="25"/>
        <v>Integration User</v>
      </c>
    </row>
    <row r="175" spans="1:9" x14ac:dyDescent="0.2">
      <c r="A175" s="2" t="str">
        <f>HYPERLINK("https://otsuka-europe-crm.veevavault.com/ui/#object/multichannel_activity__v/V9VZ025E82936PD", "MCA-000026158")</f>
        <v>MCA-000026158</v>
      </c>
      <c r="B175" s="3" t="s">
        <v>13</v>
      </c>
      <c r="C175" s="2" t="str">
        <f>HYPERLINK("https://otsuka-europe-crm.veevavault.com/ui/#object/sent_email__v/VBLZ025E82GV39Q", "SE-000279138")</f>
        <v>SE-000279138</v>
      </c>
      <c r="D175" s="2" t="str">
        <f t="shared" si="26"/>
        <v>Nicoletta Vozza</v>
      </c>
      <c r="E175" s="2" t="str">
        <f>HYPERLINK("https://otsuka-europe-crm.veevavault.com/ui/#object/account__v/V4TZ025E82WRPG6", "ANDREA MADARO")</f>
        <v>ANDREA MADARO</v>
      </c>
      <c r="F175" s="4">
        <v>45922.335543981484</v>
      </c>
      <c r="G175" s="2" t="str">
        <f t="shared" si="27"/>
        <v>AE Masterclass</v>
      </c>
      <c r="H175" s="3" t="s">
        <v>27</v>
      </c>
      <c r="I175" s="2" t="str">
        <f t="shared" si="25"/>
        <v>Integration User</v>
      </c>
    </row>
    <row r="176" spans="1:9" x14ac:dyDescent="0.2">
      <c r="A176" s="2" t="str">
        <f>HYPERLINK("https://otsuka-europe-crm.veevavault.com/ui/#object/multichannel_activity__v/V9VZ025E82936S5", "MCA-000026159")</f>
        <v>MCA-000026159</v>
      </c>
      <c r="B176" s="3" t="s">
        <v>9</v>
      </c>
      <c r="C176" s="2" t="str">
        <f>HYPERLINK("https://otsuka-europe-crm.veevavault.com/ui/#object/sent_email__v/VBLZ025E82GV2KW", "SE-000278244")</f>
        <v>SE-000278244</v>
      </c>
      <c r="D176" s="2" t="str">
        <f t="shared" si="26"/>
        <v>Nicoletta Vozza</v>
      </c>
      <c r="E176" s="2" t="str">
        <f>HYPERLINK("https://otsuka-europe-crm.veevavault.com/ui/#object/account__v/V4TZ04ASGCDG9PP", "MAURIZIO MAVARACCHIO")</f>
        <v>MAURIZIO MAVARACCHIO</v>
      </c>
      <c r="F176" s="4">
        <v>45922.335532407407</v>
      </c>
      <c r="G176" s="2" t="str">
        <f t="shared" si="27"/>
        <v>AE Masterclass</v>
      </c>
      <c r="H176" s="3" t="s">
        <v>27</v>
      </c>
      <c r="I176" s="2" t="str">
        <f t="shared" si="25"/>
        <v>Integration User</v>
      </c>
    </row>
    <row r="177" spans="1:9" x14ac:dyDescent="0.2">
      <c r="A177" s="2" t="str">
        <f>HYPERLINK("https://otsuka-europe-crm.veevavault.com/ui/#object/multichannel_activity__v/V9VZ025E82936UX", "MCA-000026160")</f>
        <v>MCA-000026160</v>
      </c>
      <c r="B177" s="3" t="s">
        <v>9</v>
      </c>
      <c r="C177" s="2" t="str">
        <f>HYPERLINK("https://otsuka-europe-crm.veevavault.com/ui/#object/sent_email__v/VBLZ025E82GV24N", "SE-000277659")</f>
        <v>SE-000277659</v>
      </c>
      <c r="D177" s="2" t="str">
        <f t="shared" si="26"/>
        <v>Nicoletta Vozza</v>
      </c>
      <c r="E177" s="2" t="str">
        <f>HYPERLINK("https://otsuka-europe-crm.veevavault.com/ui/#object/account__v/V4TZ06G6O71SCB2", "LORENZO SAN MARTINO")</f>
        <v>LORENZO SAN MARTINO</v>
      </c>
      <c r="F177" s="4">
        <v>45922.335925925923</v>
      </c>
      <c r="G177" s="2" t="str">
        <f t="shared" si="27"/>
        <v>AE Masterclass</v>
      </c>
      <c r="H177" s="3" t="s">
        <v>27</v>
      </c>
      <c r="I177" s="2" t="str">
        <f t="shared" si="25"/>
        <v>Integration User</v>
      </c>
    </row>
    <row r="178" spans="1:9" x14ac:dyDescent="0.2">
      <c r="A178" s="2" t="str">
        <f>HYPERLINK("https://otsuka-europe-crm.veevavault.com/ui/#object/multichannel_activity__v/V9VZ025E82936XP", "MCA-000026161")</f>
        <v>MCA-000026161</v>
      </c>
      <c r="B178" s="3" t="s">
        <v>13</v>
      </c>
      <c r="C178" s="2" t="str">
        <f>HYPERLINK("https://otsuka-europe-crm.veevavault.com/ui/#object/sent_email__v/VBLZ025E82GV24N", "SE-000277659")</f>
        <v>SE-000277659</v>
      </c>
      <c r="D178" s="2" t="str">
        <f t="shared" si="26"/>
        <v>Nicoletta Vozza</v>
      </c>
      <c r="E178" s="2" t="str">
        <f>HYPERLINK("https://otsuka-europe-crm.veevavault.com/ui/#object/account__v/V4TZ06G6O71SCB2", "LORENZO SAN MARTINO")</f>
        <v>LORENZO SAN MARTINO</v>
      </c>
      <c r="F178" s="4">
        <v>45922.335925925923</v>
      </c>
      <c r="G178" s="2" t="str">
        <f t="shared" si="27"/>
        <v>AE Masterclass</v>
      </c>
      <c r="H178" s="3" t="s">
        <v>27</v>
      </c>
      <c r="I178" s="2" t="str">
        <f t="shared" si="25"/>
        <v>Integration User</v>
      </c>
    </row>
    <row r="179" spans="1:9" x14ac:dyDescent="0.2">
      <c r="A179" s="2" t="str">
        <f>HYPERLINK("https://otsuka-europe-crm.veevavault.com/ui/#object/multichannel_activity__v/V9VZ025E829370H", "MCA-000026162")</f>
        <v>MCA-000026162</v>
      </c>
      <c r="B179" s="3" t="s">
        <v>13</v>
      </c>
      <c r="C179" s="2" t="str">
        <f>HYPERLINK("https://otsuka-europe-crm.veevavault.com/ui/#object/sent_email__v/VBLZ025E82GV2KV", "SE-000278243")</f>
        <v>SE-000278243</v>
      </c>
      <c r="D179" s="2" t="str">
        <f t="shared" si="26"/>
        <v>Nicoletta Vozza</v>
      </c>
      <c r="E179" s="2" t="str">
        <f>HYPERLINK("https://otsuka-europe-crm.veevavault.com/ui/#object/account__v/V4TZ04ASGC7N4UC", "RAFFAELE BONATTO REVELLO")</f>
        <v>RAFFAELE BONATTO REVELLO</v>
      </c>
      <c r="F179" s="4">
        <v>45922.3356712963</v>
      </c>
      <c r="G179" s="2" t="str">
        <f t="shared" si="27"/>
        <v>AE Masterclass</v>
      </c>
      <c r="H179" s="3" t="s">
        <v>27</v>
      </c>
      <c r="I179" s="2" t="str">
        <f t="shared" si="25"/>
        <v>Integration User</v>
      </c>
    </row>
    <row r="180" spans="1:9" x14ac:dyDescent="0.2">
      <c r="A180" s="2" t="str">
        <f>HYPERLINK("https://otsuka-europe-crm.veevavault.com/ui/#object/multichannel_activity__v/V9VZ025E8293739", "MCA-000026163")</f>
        <v>MCA-000026163</v>
      </c>
      <c r="B180" s="3" t="s">
        <v>13</v>
      </c>
      <c r="C180" s="2" t="str">
        <f>HYPERLINK("https://otsuka-europe-crm.veevavault.com/ui/#object/sent_email__v/VBLZ025E82GV39Q", "SE-000279138")</f>
        <v>SE-000279138</v>
      </c>
      <c r="D180" s="2" t="str">
        <f t="shared" si="26"/>
        <v>Nicoletta Vozza</v>
      </c>
      <c r="E180" s="2" t="str">
        <f>HYPERLINK("https://otsuka-europe-crm.veevavault.com/ui/#object/account__v/V4TZ025E82WRPG6", "ANDREA MADARO")</f>
        <v>ANDREA MADARO</v>
      </c>
      <c r="F180" s="4">
        <v>45922.335543981484</v>
      </c>
      <c r="G180" s="2" t="str">
        <f t="shared" si="27"/>
        <v>AE Masterclass</v>
      </c>
      <c r="H180" s="3" t="s">
        <v>27</v>
      </c>
      <c r="I180" s="2" t="str">
        <f t="shared" si="25"/>
        <v>Integration User</v>
      </c>
    </row>
    <row r="181" spans="1:9" x14ac:dyDescent="0.2">
      <c r="A181" s="2" t="str">
        <f>HYPERLINK("https://otsuka-europe-crm.veevavault.com/ui/#object/multichannel_activity__v/V9VZ025E8293761", "MCA-000026164")</f>
        <v>MCA-000026164</v>
      </c>
      <c r="B181" s="3" t="s">
        <v>9</v>
      </c>
      <c r="C181" s="2" t="str">
        <f>HYPERLINK("https://otsuka-europe-crm.veevavault.com/ui/#object/sent_email__v/VBLZ025E82GV2P5", "SE-000278397")</f>
        <v>SE-000278397</v>
      </c>
      <c r="D181" s="2" t="str">
        <f t="shared" si="26"/>
        <v>Nicoletta Vozza</v>
      </c>
      <c r="E181" s="2" t="str">
        <f>HYPERLINK("https://otsuka-europe-crm.veevavault.com/ui/#object/account__v/V4TZ025E82XQXI3", "SONIA BOGGIO")</f>
        <v>SONIA BOGGIO</v>
      </c>
      <c r="F181" s="4">
        <v>45922.335682870369</v>
      </c>
      <c r="G181" s="2" t="str">
        <f t="shared" si="27"/>
        <v>AE Masterclass</v>
      </c>
      <c r="H181" s="3" t="s">
        <v>27</v>
      </c>
      <c r="I181" s="2" t="str">
        <f t="shared" si="25"/>
        <v>Integration User</v>
      </c>
    </row>
    <row r="182" spans="1:9" x14ac:dyDescent="0.2">
      <c r="A182" s="2" t="str">
        <f>HYPERLINK("https://otsuka-europe-crm.veevavault.com/ui/#object/multichannel_activity__v/V9VZ025E829378T", "MCA-000026165")</f>
        <v>MCA-000026165</v>
      </c>
      <c r="B182" s="3" t="s">
        <v>9</v>
      </c>
      <c r="C182" s="2" t="str">
        <f>HYPERLINK("https://otsuka-europe-crm.veevavault.com/ui/#object/sent_email__v/VBLZ025E82GV2KW", "SE-000278244")</f>
        <v>SE-000278244</v>
      </c>
      <c r="D182" s="2" t="str">
        <f t="shared" si="26"/>
        <v>Nicoletta Vozza</v>
      </c>
      <c r="E182" s="2" t="str">
        <f>HYPERLINK("https://otsuka-europe-crm.veevavault.com/ui/#object/account__v/V4TZ04ASGCDG9PP", "MAURIZIO MAVARACCHIO")</f>
        <v>MAURIZIO MAVARACCHIO</v>
      </c>
      <c r="F182" s="4">
        <v>45922.335532407407</v>
      </c>
      <c r="G182" s="2" t="str">
        <f t="shared" si="27"/>
        <v>AE Masterclass</v>
      </c>
      <c r="H182" s="3" t="s">
        <v>27</v>
      </c>
      <c r="I182" s="2" t="str">
        <f t="shared" si="25"/>
        <v>Integration User</v>
      </c>
    </row>
    <row r="183" spans="1:9" x14ac:dyDescent="0.2">
      <c r="A183" s="2" t="str">
        <f>HYPERLINK("https://otsuka-europe-crm.veevavault.com/ui/#object/multichannel_activity__v/V9VZ025E82937BL", "MCA-000026166")</f>
        <v>MCA-000026166</v>
      </c>
      <c r="B183" s="3" t="s">
        <v>13</v>
      </c>
      <c r="C183" s="2" t="str">
        <f>HYPERLINK("https://otsuka-europe-crm.veevavault.com/ui/#object/sent_email__v/VBLZ025E82GV2KV", "SE-000278243")</f>
        <v>SE-000278243</v>
      </c>
      <c r="D183" s="2" t="str">
        <f t="shared" si="26"/>
        <v>Nicoletta Vozza</v>
      </c>
      <c r="E183" s="2" t="str">
        <f>HYPERLINK("https://otsuka-europe-crm.veevavault.com/ui/#object/account__v/V4TZ04ASGC7N4UC", "RAFFAELE BONATTO REVELLO")</f>
        <v>RAFFAELE BONATTO REVELLO</v>
      </c>
      <c r="F183" s="4">
        <v>45922.3356712963</v>
      </c>
      <c r="G183" s="2" t="str">
        <f t="shared" si="27"/>
        <v>AE Masterclass</v>
      </c>
      <c r="H183" s="3" t="s">
        <v>27</v>
      </c>
      <c r="I183" s="2" t="str">
        <f t="shared" si="25"/>
        <v>Integration User</v>
      </c>
    </row>
    <row r="184" spans="1:9" x14ac:dyDescent="0.2">
      <c r="A184" s="2" t="str">
        <f>HYPERLINK("https://otsuka-europe-crm.veevavault.com/ui/#object/multichannel_activity__v/V9VZ025E82937ED", "MCA-000026167")</f>
        <v>MCA-000026167</v>
      </c>
      <c r="B184" s="3" t="s">
        <v>9</v>
      </c>
      <c r="C184" s="2" t="str">
        <f>HYPERLINK("https://otsuka-europe-crm.veevavault.com/ui/#object/sent_email__v/VBLZ025E82GV2P5", "SE-000278397")</f>
        <v>SE-000278397</v>
      </c>
      <c r="D184" s="2" t="str">
        <f t="shared" si="26"/>
        <v>Nicoletta Vozza</v>
      </c>
      <c r="E184" s="2" t="str">
        <f>HYPERLINK("https://otsuka-europe-crm.veevavault.com/ui/#object/account__v/V4TZ025E82XQXI3", "SONIA BOGGIO")</f>
        <v>SONIA BOGGIO</v>
      </c>
      <c r="F184" s="4">
        <v>45922.335682870369</v>
      </c>
      <c r="G184" s="2" t="str">
        <f t="shared" si="27"/>
        <v>AE Masterclass</v>
      </c>
      <c r="H184" s="3" t="s">
        <v>27</v>
      </c>
      <c r="I184" s="2" t="str">
        <f t="shared" si="25"/>
        <v>Integration User</v>
      </c>
    </row>
    <row r="185" spans="1:9" x14ac:dyDescent="0.2">
      <c r="A185" s="2" t="str">
        <f>HYPERLINK("https://otsuka-europe-crm.veevavault.com/ui/#object/multichannel_activity__v/V9VZ025E82937H5", "MCA-000026168")</f>
        <v>MCA-000026168</v>
      </c>
      <c r="B185" s="3" t="s">
        <v>9</v>
      </c>
      <c r="C185" s="2" t="str">
        <f>HYPERLINK("https://otsuka-europe-crm.veevavault.com/ui/#object/sent_email__v/VBLZ025E82GV30E", "SE-000278802")</f>
        <v>SE-000278802</v>
      </c>
      <c r="D185" s="2" t="str">
        <f t="shared" si="26"/>
        <v>Nicoletta Vozza</v>
      </c>
      <c r="E185" s="2" t="str">
        <f>HYPERLINK("https://otsuka-europe-crm.veevavault.com/ui/#object/account__v/V4TZ06G6O71SB2J", "FRANCESCO COLOSIMO")</f>
        <v>FRANCESCO COLOSIMO</v>
      </c>
      <c r="F185" s="4">
        <v>45922.335833333331</v>
      </c>
      <c r="G185" s="2" t="str">
        <f t="shared" si="27"/>
        <v>AE Masterclass</v>
      </c>
      <c r="H185" s="3" t="s">
        <v>27</v>
      </c>
      <c r="I185" s="2" t="str">
        <f t="shared" si="25"/>
        <v>Integration User</v>
      </c>
    </row>
    <row r="186" spans="1:9" x14ac:dyDescent="0.2">
      <c r="A186" s="2" t="str">
        <f>HYPERLINK("https://otsuka-europe-crm.veevavault.com/ui/#object/multichannel_activity__v/V9VZ025E82937JX", "MCA-000026169")</f>
        <v>MCA-000026169</v>
      </c>
      <c r="B186" s="3" t="s">
        <v>13</v>
      </c>
      <c r="C186" s="2" t="str">
        <f>HYPERLINK("https://otsuka-europe-crm.veevavault.com/ui/#object/sent_email__v/VBLZ025E82GV30E", "SE-000278802")</f>
        <v>SE-000278802</v>
      </c>
      <c r="D186" s="2" t="str">
        <f t="shared" si="26"/>
        <v>Nicoletta Vozza</v>
      </c>
      <c r="E186" s="2" t="str">
        <f>HYPERLINK("https://otsuka-europe-crm.veevavault.com/ui/#object/account__v/V4TZ06G6O71SB2J", "FRANCESCO COLOSIMO")</f>
        <v>FRANCESCO COLOSIMO</v>
      </c>
      <c r="F186" s="4">
        <v>45922.335833333331</v>
      </c>
      <c r="G186" s="2" t="str">
        <f t="shared" si="27"/>
        <v>AE Masterclass</v>
      </c>
      <c r="H186" s="3" t="s">
        <v>27</v>
      </c>
      <c r="I186" s="2" t="str">
        <f t="shared" si="25"/>
        <v>Integration User</v>
      </c>
    </row>
    <row r="187" spans="1:9" x14ac:dyDescent="0.2">
      <c r="A187" s="2" t="str">
        <f>HYPERLINK("https://otsuka-europe-crm.veevavault.com/ui/#object/multichannel_activity__v/V9VZ025E82937MP", "MCA-000026170")</f>
        <v>MCA-000026170</v>
      </c>
      <c r="B187" s="3" t="s">
        <v>9</v>
      </c>
      <c r="C187" s="2" t="str">
        <f>HYPERLINK("https://otsuka-europe-crm.veevavault.com/ui/#object/sent_email__v/VBLZ025E82GV24T", "SE-000277665")</f>
        <v>SE-000277665</v>
      </c>
      <c r="D187" s="2" t="str">
        <f t="shared" si="26"/>
        <v>Nicoletta Vozza</v>
      </c>
      <c r="E187" s="2" t="str">
        <f>HYPERLINK("https://otsuka-europe-crm.veevavault.com/ui/#object/account__v/V4TZ06G6O71SAGW", "PIETRO DI PAOLO")</f>
        <v>PIETRO DI PAOLO</v>
      </c>
      <c r="F187" s="4">
        <v>45922.336053240739</v>
      </c>
      <c r="G187" s="2" t="str">
        <f t="shared" si="27"/>
        <v>AE Masterclass</v>
      </c>
      <c r="H187" s="3" t="s">
        <v>27</v>
      </c>
      <c r="I187" s="2" t="str">
        <f t="shared" si="25"/>
        <v>Integration User</v>
      </c>
    </row>
    <row r="188" spans="1:9" x14ac:dyDescent="0.2">
      <c r="A188" s="2" t="str">
        <f>HYPERLINK("https://otsuka-europe-crm.veevavault.com/ui/#object/multichannel_activity__v/V9VZ025E82937PH", "MCA-000026171")</f>
        <v>MCA-000026171</v>
      </c>
      <c r="B188" s="3" t="s">
        <v>13</v>
      </c>
      <c r="C188" s="2" t="str">
        <f>HYPERLINK("https://otsuka-europe-crm.veevavault.com/ui/#object/sent_email__v/VBLZ025E82GV24T", "SE-000277665")</f>
        <v>SE-000277665</v>
      </c>
      <c r="D188" s="2" t="str">
        <f t="shared" si="26"/>
        <v>Nicoletta Vozza</v>
      </c>
      <c r="E188" s="2" t="str">
        <f>HYPERLINK("https://otsuka-europe-crm.veevavault.com/ui/#object/account__v/V4TZ06G6O71SAGW", "PIETRO DI PAOLO")</f>
        <v>PIETRO DI PAOLO</v>
      </c>
      <c r="F188" s="4">
        <v>45922.336053240739</v>
      </c>
      <c r="G188" s="2" t="str">
        <f t="shared" si="27"/>
        <v>AE Masterclass</v>
      </c>
      <c r="H188" s="3" t="s">
        <v>27</v>
      </c>
      <c r="I188" s="2" t="str">
        <f t="shared" si="25"/>
        <v>Integration User</v>
      </c>
    </row>
    <row r="189" spans="1:9" x14ac:dyDescent="0.2">
      <c r="A189" s="2" t="str">
        <f>HYPERLINK("https://otsuka-europe-crm.veevavault.com/ui/#object/multichannel_activity__v/V9VZ025E82937S9", "MCA-000026172")</f>
        <v>MCA-000026172</v>
      </c>
      <c r="B189" s="3" t="s">
        <v>13</v>
      </c>
      <c r="C189" s="2" t="str">
        <f>HYPERLINK("https://otsuka-europe-crm.veevavault.com/ui/#object/sent_email__v/VBLZ025E82GV259", "SE-000277681")</f>
        <v>SE-000277681</v>
      </c>
      <c r="D189" s="2" t="str">
        <f t="shared" ref="D189:D211" si="28">HYPERLINK("https://otsuka-europe-crm.veevavault.com/ui/#object/user__sys/4385075", "Nicoletta Vozza")</f>
        <v>Nicoletta Vozza</v>
      </c>
      <c r="E189" s="2" t="str">
        <f>HYPERLINK("https://otsuka-europe-crm.veevavault.com/ui/#object/account__v/V4TZ06G6O71S9JZ", "GIUSEPPE COMITE")</f>
        <v>GIUSEPPE COMITE</v>
      </c>
      <c r="F189" s="4">
        <v>45922.336145833331</v>
      </c>
      <c r="G189" s="2" t="str">
        <f t="shared" ref="G189:G211" si="29">HYPERLINK("https://otsuka-europe-crm.veevavault.com/ui/#object/approved_document__v/V5OZ025E82TSVX5", "AE Masterclass")</f>
        <v>AE Masterclass</v>
      </c>
      <c r="H189" s="3" t="s">
        <v>27</v>
      </c>
      <c r="I189" s="2" t="str">
        <f t="shared" si="25"/>
        <v>Integration User</v>
      </c>
    </row>
    <row r="190" spans="1:9" x14ac:dyDescent="0.2">
      <c r="A190" s="2" t="str">
        <f>HYPERLINK("https://otsuka-europe-crm.veevavault.com/ui/#object/multichannel_activity__v/V9VZ025E82937V1", "MCA-000026173")</f>
        <v>MCA-000026173</v>
      </c>
      <c r="B190" s="3" t="s">
        <v>9</v>
      </c>
      <c r="C190" s="2" t="str">
        <f>HYPERLINK("https://otsuka-europe-crm.veevavault.com/ui/#object/sent_email__v/VBLZ025E82GV259", "SE-000277681")</f>
        <v>SE-000277681</v>
      </c>
      <c r="D190" s="2" t="str">
        <f t="shared" si="28"/>
        <v>Nicoletta Vozza</v>
      </c>
      <c r="E190" s="2" t="str">
        <f>HYPERLINK("https://otsuka-europe-crm.veevavault.com/ui/#object/account__v/V4TZ06G6O71S9JZ", "GIUSEPPE COMITE")</f>
        <v>GIUSEPPE COMITE</v>
      </c>
      <c r="F190" s="4">
        <v>45922.336145833331</v>
      </c>
      <c r="G190" s="2" t="str">
        <f t="shared" si="29"/>
        <v>AE Masterclass</v>
      </c>
      <c r="H190" s="3" t="s">
        <v>27</v>
      </c>
      <c r="I190" s="2" t="str">
        <f t="shared" si="25"/>
        <v>Integration User</v>
      </c>
    </row>
    <row r="191" spans="1:9" x14ac:dyDescent="0.2">
      <c r="A191" s="2" t="str">
        <f>HYPERLINK("https://otsuka-europe-crm.veevavault.com/ui/#object/multichannel_activity__v/V9VZ025E82937XT", "MCA-000026174")</f>
        <v>MCA-000026174</v>
      </c>
      <c r="B191" s="3" t="s">
        <v>13</v>
      </c>
      <c r="C191" s="2" t="str">
        <f>HYPERLINK("https://otsuka-europe-crm.veevavault.com/ui/#object/sent_email__v/VBLZ025E82GV259", "SE-000277681")</f>
        <v>SE-000277681</v>
      </c>
      <c r="D191" s="2" t="str">
        <f t="shared" si="28"/>
        <v>Nicoletta Vozza</v>
      </c>
      <c r="E191" s="2" t="str">
        <f>HYPERLINK("https://otsuka-europe-crm.veevavault.com/ui/#object/account__v/V4TZ06G6O71S9JZ", "GIUSEPPE COMITE")</f>
        <v>GIUSEPPE COMITE</v>
      </c>
      <c r="F191" s="4">
        <v>45922.336145833331</v>
      </c>
      <c r="G191" s="2" t="str">
        <f t="shared" si="29"/>
        <v>AE Masterclass</v>
      </c>
      <c r="H191" s="3" t="s">
        <v>27</v>
      </c>
      <c r="I191" s="2" t="str">
        <f t="shared" si="25"/>
        <v>Integration User</v>
      </c>
    </row>
    <row r="192" spans="1:9" x14ac:dyDescent="0.2">
      <c r="A192" s="2" t="str">
        <f>HYPERLINK("https://otsuka-europe-crm.veevavault.com/ui/#object/multichannel_activity__v/V9VZ025E829380L", "MCA-000026175")</f>
        <v>MCA-000026175</v>
      </c>
      <c r="B192" s="3" t="s">
        <v>9</v>
      </c>
      <c r="C192" s="2" t="str">
        <f>HYPERLINK("https://otsuka-europe-crm.veevavault.com/ui/#object/sent_email__v/VBLZ025E82GV24Q", "SE-000277662")</f>
        <v>SE-000277662</v>
      </c>
      <c r="D192" s="2" t="str">
        <f t="shared" si="28"/>
        <v>Nicoletta Vozza</v>
      </c>
      <c r="E192" s="2" t="str">
        <f>HYPERLINK("https://otsuka-europe-crm.veevavault.com/ui/#object/account__v/V4TZ06G6O71SB00", "EMANUELE CAROPPO")</f>
        <v>EMANUELE CAROPPO</v>
      </c>
      <c r="F192" s="4">
        <v>45922.335960648146</v>
      </c>
      <c r="G192" s="2" t="str">
        <f t="shared" si="29"/>
        <v>AE Masterclass</v>
      </c>
      <c r="H192" s="3" t="s">
        <v>27</v>
      </c>
      <c r="I192" s="2" t="str">
        <f t="shared" si="25"/>
        <v>Integration User</v>
      </c>
    </row>
    <row r="193" spans="1:9" x14ac:dyDescent="0.2">
      <c r="A193" s="2" t="str">
        <f>HYPERLINK("https://otsuka-europe-crm.veevavault.com/ui/#object/multichannel_activity__v/V9VZ025E829383D", "MCA-000026176")</f>
        <v>MCA-000026176</v>
      </c>
      <c r="B193" s="3" t="s">
        <v>13</v>
      </c>
      <c r="C193" s="2" t="str">
        <f>HYPERLINK("https://otsuka-europe-crm.veevavault.com/ui/#object/sent_email__v/VBLZ025E82GV24Q", "SE-000277662")</f>
        <v>SE-000277662</v>
      </c>
      <c r="D193" s="2" t="str">
        <f t="shared" si="28"/>
        <v>Nicoletta Vozza</v>
      </c>
      <c r="E193" s="2" t="str">
        <f>HYPERLINK("https://otsuka-europe-crm.veevavault.com/ui/#object/account__v/V4TZ06G6O71SB00", "EMANUELE CAROPPO")</f>
        <v>EMANUELE CAROPPO</v>
      </c>
      <c r="F193" s="4">
        <v>45922.335960648146</v>
      </c>
      <c r="G193" s="2" t="str">
        <f t="shared" si="29"/>
        <v>AE Masterclass</v>
      </c>
      <c r="H193" s="3" t="s">
        <v>27</v>
      </c>
      <c r="I193" s="2" t="str">
        <f t="shared" si="25"/>
        <v>Integration User</v>
      </c>
    </row>
    <row r="194" spans="1:9" x14ac:dyDescent="0.2">
      <c r="A194" s="2" t="str">
        <f>HYPERLINK("https://otsuka-europe-crm.veevavault.com/ui/#object/multichannel_activity__v/V9VZ025E8293865", "MCA-000026177")</f>
        <v>MCA-000026177</v>
      </c>
      <c r="B194" s="3" t="s">
        <v>13</v>
      </c>
      <c r="C194" s="2" t="str">
        <f>HYPERLINK("https://otsuka-europe-crm.veevavault.com/ui/#object/sent_email__v/VBLZ025E82GV2WQ", "SE-000278670")</f>
        <v>SE-000278670</v>
      </c>
      <c r="D194" s="2" t="str">
        <f t="shared" si="28"/>
        <v>Nicoletta Vozza</v>
      </c>
      <c r="E194" s="2" t="str">
        <f>HYPERLINK("https://otsuka-europe-crm.veevavault.com/ui/#object/account__v/V4TZ04ASGBCIS2N", "CLAUDIA MIGLIOZZI")</f>
        <v>CLAUDIA MIGLIOZZI</v>
      </c>
      <c r="F194" s="4">
        <v>45922.3359375</v>
      </c>
      <c r="G194" s="2" t="str">
        <f t="shared" si="29"/>
        <v>AE Masterclass</v>
      </c>
      <c r="H194" s="3" t="s">
        <v>27</v>
      </c>
      <c r="I194" s="2" t="str">
        <f t="shared" ref="I194:I257" si="30">HYPERLINK("https://otsuka-europe-crm.veevavault.com/ui/#object/user__sys/27667712", "Integration User")</f>
        <v>Integration User</v>
      </c>
    </row>
    <row r="195" spans="1:9" x14ac:dyDescent="0.2">
      <c r="A195" s="2" t="str">
        <f>HYPERLINK("https://otsuka-europe-crm.veevavault.com/ui/#object/multichannel_activity__v/V9VZ025E829388X", "MCA-000026178")</f>
        <v>MCA-000026178</v>
      </c>
      <c r="B195" s="3" t="s">
        <v>13</v>
      </c>
      <c r="C195" s="2" t="str">
        <f>HYPERLINK("https://otsuka-europe-crm.veevavault.com/ui/#object/sent_email__v/VBLZ025E82GV39P", "SE-000279137")</f>
        <v>SE-000279137</v>
      </c>
      <c r="D195" s="2" t="str">
        <f t="shared" si="28"/>
        <v>Nicoletta Vozza</v>
      </c>
      <c r="E195" s="2" t="str">
        <f>HYPERLINK("https://otsuka-europe-crm.veevavault.com/ui/#object/account__v/V4TZ04ASGC7N4PX", "VALENTINA AGUGLIA")</f>
        <v>VALENTINA AGUGLIA</v>
      </c>
      <c r="F195" s="4">
        <v>45922.335740740738</v>
      </c>
      <c r="G195" s="2" t="str">
        <f t="shared" si="29"/>
        <v>AE Masterclass</v>
      </c>
      <c r="H195" s="3" t="s">
        <v>27</v>
      </c>
      <c r="I195" s="2" t="str">
        <f t="shared" si="30"/>
        <v>Integration User</v>
      </c>
    </row>
    <row r="196" spans="1:9" x14ac:dyDescent="0.2">
      <c r="A196" s="2" t="str">
        <f>HYPERLINK("https://otsuka-europe-crm.veevavault.com/ui/#object/multichannel_activity__v/V9VZ025E82938BP", "MCA-000026179")</f>
        <v>MCA-000026179</v>
      </c>
      <c r="B196" s="3" t="s">
        <v>9</v>
      </c>
      <c r="C196" s="2" t="str">
        <f>HYPERLINK("https://otsuka-europe-crm.veevavault.com/ui/#object/sent_email__v/VBLZ025E82GV2KT", "SE-000278241")</f>
        <v>SE-000278241</v>
      </c>
      <c r="D196" s="2" t="str">
        <f t="shared" si="28"/>
        <v>Nicoletta Vozza</v>
      </c>
      <c r="E196" s="2" t="str">
        <f>HYPERLINK("https://otsuka-europe-crm.veevavault.com/ui/#object/account__v/V4TZ04ASGCDGAED", "CECILIA GRIMALDI")</f>
        <v>CECILIA GRIMALDI</v>
      </c>
      <c r="F196" s="4">
        <v>45922.336030092592</v>
      </c>
      <c r="G196" s="2" t="str">
        <f t="shared" si="29"/>
        <v>AE Masterclass</v>
      </c>
      <c r="H196" s="3" t="s">
        <v>27</v>
      </c>
      <c r="I196" s="2" t="str">
        <f t="shared" si="30"/>
        <v>Integration User</v>
      </c>
    </row>
    <row r="197" spans="1:9" x14ac:dyDescent="0.2">
      <c r="A197" s="2" t="str">
        <f>HYPERLINK("https://otsuka-europe-crm.veevavault.com/ui/#object/multichannel_activity__v/V9VZ025E82938EH", "MCA-000026180")</f>
        <v>MCA-000026180</v>
      </c>
      <c r="B197" s="3" t="s">
        <v>13</v>
      </c>
      <c r="C197" s="2" t="str">
        <f>HYPERLINK("https://otsuka-europe-crm.veevavault.com/ui/#object/sent_email__v/VBLZ025E82GV33T", "SE-000278925")</f>
        <v>SE-000278925</v>
      </c>
      <c r="D197" s="2" t="str">
        <f t="shared" si="28"/>
        <v>Nicoletta Vozza</v>
      </c>
      <c r="E197" s="2" t="str">
        <f>HYPERLINK("https://otsuka-europe-crm.veevavault.com/ui/#object/account__v/V4TZ025E82XQF50", "ALESSIO LORENZO CEREGATO")</f>
        <v>ALESSIO LORENZO CEREGATO</v>
      </c>
      <c r="F197" s="4">
        <v>45922.336030092592</v>
      </c>
      <c r="G197" s="2" t="str">
        <f t="shared" si="29"/>
        <v>AE Masterclass</v>
      </c>
      <c r="H197" s="3" t="s">
        <v>27</v>
      </c>
      <c r="I197" s="2" t="str">
        <f t="shared" si="30"/>
        <v>Integration User</v>
      </c>
    </row>
    <row r="198" spans="1:9" x14ac:dyDescent="0.2">
      <c r="A198" s="2" t="str">
        <f>HYPERLINK("https://otsuka-europe-crm.veevavault.com/ui/#object/multichannel_activity__v/V9VZ025E82938H9", "MCA-000026181")</f>
        <v>MCA-000026181</v>
      </c>
      <c r="B198" s="3" t="s">
        <v>13</v>
      </c>
      <c r="C198" s="2" t="str">
        <f>HYPERLINK("https://otsuka-europe-crm.veevavault.com/ui/#object/sent_email__v/VBLZ025E82GV2P6", "SE-000278398")</f>
        <v>SE-000278398</v>
      </c>
      <c r="D198" s="2" t="str">
        <f t="shared" si="28"/>
        <v>Nicoletta Vozza</v>
      </c>
      <c r="E198" s="2" t="str">
        <f>HYPERLINK("https://otsuka-europe-crm.veevavault.com/ui/#object/account__v/V4TZ025E84IHR61", "MATILDE DEMARCHI")</f>
        <v>MATILDE DEMARCHI</v>
      </c>
      <c r="F198" s="4">
        <v>45922.336006944446</v>
      </c>
      <c r="G198" s="2" t="str">
        <f t="shared" si="29"/>
        <v>AE Masterclass</v>
      </c>
      <c r="H198" s="3" t="s">
        <v>27</v>
      </c>
      <c r="I198" s="2" t="str">
        <f t="shared" si="30"/>
        <v>Integration User</v>
      </c>
    </row>
    <row r="199" spans="1:9" x14ac:dyDescent="0.2">
      <c r="A199" s="2" t="str">
        <f>HYPERLINK("https://otsuka-europe-crm.veevavault.com/ui/#object/multichannel_activity__v/V9VZ025E82935XM", "MCA-000026182")</f>
        <v>MCA-000026182</v>
      </c>
      <c r="B199" s="3" t="s">
        <v>9</v>
      </c>
      <c r="C199" s="2" t="str">
        <f>HYPERLINK("https://otsuka-europe-crm.veevavault.com/ui/#object/sent_email__v/VBLZ025E82GV37O", "SE-000279064")</f>
        <v>SE-000279064</v>
      </c>
      <c r="D199" s="2" t="str">
        <f t="shared" si="28"/>
        <v>Nicoletta Vozza</v>
      </c>
      <c r="E199" s="2" t="str">
        <f>HYPERLINK("https://otsuka-europe-crm.veevavault.com/ui/#object/account__v/V4TZ025E82XQQXX", "EMANUELA SPAGNOLINI")</f>
        <v>EMANUELA SPAGNOLINI</v>
      </c>
      <c r="F199" s="4">
        <v>45922.336018518516</v>
      </c>
      <c r="G199" s="2" t="str">
        <f t="shared" si="29"/>
        <v>AE Masterclass</v>
      </c>
      <c r="H199" s="3" t="s">
        <v>27</v>
      </c>
      <c r="I199" s="2" t="str">
        <f t="shared" si="30"/>
        <v>Integration User</v>
      </c>
    </row>
    <row r="200" spans="1:9" x14ac:dyDescent="0.2">
      <c r="A200" s="2" t="str">
        <f>HYPERLINK("https://otsuka-europe-crm.veevavault.com/ui/#object/multichannel_activity__v/V9VZ025E82938K1", "MCA-000026183")</f>
        <v>MCA-000026183</v>
      </c>
      <c r="B200" s="3" t="s">
        <v>9</v>
      </c>
      <c r="C200" s="2" t="str">
        <f>HYPERLINK("https://otsuka-europe-crm.veevavault.com/ui/#object/sent_email__v/VBLZ025E82GV2OZ", "SE-000278391")</f>
        <v>SE-000278391</v>
      </c>
      <c r="D200" s="2" t="str">
        <f t="shared" si="28"/>
        <v>Nicoletta Vozza</v>
      </c>
      <c r="E200" s="2" t="str">
        <f>HYPERLINK("https://otsuka-europe-crm.veevavault.com/ui/#object/account__v/V4TZ04ASGBCISJ5", "CHIARA PICCO")</f>
        <v>CHIARA PICCO</v>
      </c>
      <c r="F200" s="4">
        <v>45922.336134259262</v>
      </c>
      <c r="G200" s="2" t="str">
        <f t="shared" si="29"/>
        <v>AE Masterclass</v>
      </c>
      <c r="H200" s="3" t="s">
        <v>27</v>
      </c>
      <c r="I200" s="2" t="str">
        <f t="shared" si="30"/>
        <v>Integration User</v>
      </c>
    </row>
    <row r="201" spans="1:9" x14ac:dyDescent="0.2">
      <c r="A201" s="2" t="str">
        <f>HYPERLINK("https://otsuka-europe-crm.veevavault.com/ui/#object/multichannel_activity__v/V9VZ025E82938MT", "MCA-000026184")</f>
        <v>MCA-000026184</v>
      </c>
      <c r="B201" s="3" t="s">
        <v>13</v>
      </c>
      <c r="C201" s="2" t="str">
        <f>HYPERLINK("https://otsuka-europe-crm.veevavault.com/ui/#object/sent_email__v/VBLZ025E82GV2WQ", "SE-000278670")</f>
        <v>SE-000278670</v>
      </c>
      <c r="D201" s="2" t="str">
        <f t="shared" si="28"/>
        <v>Nicoletta Vozza</v>
      </c>
      <c r="E201" s="2" t="str">
        <f>HYPERLINK("https://otsuka-europe-crm.veevavault.com/ui/#object/account__v/V4TZ04ASGBCIS2N", "CLAUDIA MIGLIOZZI")</f>
        <v>CLAUDIA MIGLIOZZI</v>
      </c>
      <c r="F201" s="4">
        <v>45922.3359375</v>
      </c>
      <c r="G201" s="2" t="str">
        <f t="shared" si="29"/>
        <v>AE Masterclass</v>
      </c>
      <c r="H201" s="3" t="s">
        <v>27</v>
      </c>
      <c r="I201" s="2" t="str">
        <f t="shared" si="30"/>
        <v>Integration User</v>
      </c>
    </row>
    <row r="202" spans="1:9" x14ac:dyDescent="0.2">
      <c r="A202" s="2" t="str">
        <f>HYPERLINK("https://otsuka-europe-crm.veevavault.com/ui/#object/multichannel_activity__v/V9VZ025E82938PL", "MCA-000026185")</f>
        <v>MCA-000026185</v>
      </c>
      <c r="B202" s="3" t="s">
        <v>13</v>
      </c>
      <c r="C202" s="2" t="str">
        <f>HYPERLINK("https://otsuka-europe-crm.veevavault.com/ui/#object/sent_email__v/VBLZ025E82GV39P", "SE-000279137")</f>
        <v>SE-000279137</v>
      </c>
      <c r="D202" s="2" t="str">
        <f t="shared" si="28"/>
        <v>Nicoletta Vozza</v>
      </c>
      <c r="E202" s="2" t="str">
        <f>HYPERLINK("https://otsuka-europe-crm.veevavault.com/ui/#object/account__v/V4TZ04ASGC7N4PX", "VALENTINA AGUGLIA")</f>
        <v>VALENTINA AGUGLIA</v>
      </c>
      <c r="F202" s="4">
        <v>45922.335740740738</v>
      </c>
      <c r="G202" s="2" t="str">
        <f t="shared" si="29"/>
        <v>AE Masterclass</v>
      </c>
      <c r="H202" s="3" t="s">
        <v>27</v>
      </c>
      <c r="I202" s="2" t="str">
        <f t="shared" si="30"/>
        <v>Integration User</v>
      </c>
    </row>
    <row r="203" spans="1:9" x14ac:dyDescent="0.2">
      <c r="A203" s="2" t="str">
        <f>HYPERLINK("https://otsuka-europe-crm.veevavault.com/ui/#object/multichannel_activity__v/V9VZ025E82938SD", "MCA-000026186")</f>
        <v>MCA-000026186</v>
      </c>
      <c r="B203" s="3" t="s">
        <v>9</v>
      </c>
      <c r="C203" s="2" t="str">
        <f>HYPERLINK("https://otsuka-europe-crm.veevavault.com/ui/#object/sent_email__v/VBLZ025E82GV2KT", "SE-000278241")</f>
        <v>SE-000278241</v>
      </c>
      <c r="D203" s="2" t="str">
        <f t="shared" si="28"/>
        <v>Nicoletta Vozza</v>
      </c>
      <c r="E203" s="2" t="str">
        <f>HYPERLINK("https://otsuka-europe-crm.veevavault.com/ui/#object/account__v/V4TZ04ASGCDGAED", "CECILIA GRIMALDI")</f>
        <v>CECILIA GRIMALDI</v>
      </c>
      <c r="F203" s="4">
        <v>45922.336030092592</v>
      </c>
      <c r="G203" s="2" t="str">
        <f t="shared" si="29"/>
        <v>AE Masterclass</v>
      </c>
      <c r="H203" s="3" t="s">
        <v>27</v>
      </c>
      <c r="I203" s="2" t="str">
        <f t="shared" si="30"/>
        <v>Integration User</v>
      </c>
    </row>
    <row r="204" spans="1:9" x14ac:dyDescent="0.2">
      <c r="A204" s="2" t="str">
        <f>HYPERLINK("https://otsuka-europe-crm.veevavault.com/ui/#object/multichannel_activity__v/V9VZ025E82938V5", "MCA-000026187")</f>
        <v>MCA-000026187</v>
      </c>
      <c r="B204" s="3" t="s">
        <v>13</v>
      </c>
      <c r="C204" s="2" t="str">
        <f>HYPERLINK("https://otsuka-europe-crm.veevavault.com/ui/#object/sent_email__v/VBLZ025E82GV33T", "SE-000278925")</f>
        <v>SE-000278925</v>
      </c>
      <c r="D204" s="2" t="str">
        <f t="shared" si="28"/>
        <v>Nicoletta Vozza</v>
      </c>
      <c r="E204" s="2" t="str">
        <f>HYPERLINK("https://otsuka-europe-crm.veevavault.com/ui/#object/account__v/V4TZ025E82XQF50", "ALESSIO LORENZO CEREGATO")</f>
        <v>ALESSIO LORENZO CEREGATO</v>
      </c>
      <c r="F204" s="4">
        <v>45922.336030092592</v>
      </c>
      <c r="G204" s="2" t="str">
        <f t="shared" si="29"/>
        <v>AE Masterclass</v>
      </c>
      <c r="H204" s="3" t="s">
        <v>27</v>
      </c>
      <c r="I204" s="2" t="str">
        <f t="shared" si="30"/>
        <v>Integration User</v>
      </c>
    </row>
    <row r="205" spans="1:9" x14ac:dyDescent="0.2">
      <c r="A205" s="2" t="str">
        <f>HYPERLINK("https://otsuka-europe-crm.veevavault.com/ui/#object/multichannel_activity__v/V9VZ025E82938XX", "MCA-000026188")</f>
        <v>MCA-000026188</v>
      </c>
      <c r="B205" s="3" t="s">
        <v>9</v>
      </c>
      <c r="C205" s="2" t="str">
        <f>HYPERLINK("https://otsuka-europe-crm.veevavault.com/ui/#object/sent_email__v/VBLZ025E82GV37O", "SE-000279064")</f>
        <v>SE-000279064</v>
      </c>
      <c r="D205" s="2" t="str">
        <f t="shared" si="28"/>
        <v>Nicoletta Vozza</v>
      </c>
      <c r="E205" s="2" t="str">
        <f>HYPERLINK("https://otsuka-europe-crm.veevavault.com/ui/#object/account__v/V4TZ025E82XQQXX", "EMANUELA SPAGNOLINI")</f>
        <v>EMANUELA SPAGNOLINI</v>
      </c>
      <c r="F205" s="4">
        <v>45922.336018518516</v>
      </c>
      <c r="G205" s="2" t="str">
        <f t="shared" si="29"/>
        <v>AE Masterclass</v>
      </c>
      <c r="H205" s="3" t="s">
        <v>27</v>
      </c>
      <c r="I205" s="2" t="str">
        <f t="shared" si="30"/>
        <v>Integration User</v>
      </c>
    </row>
    <row r="206" spans="1:9" x14ac:dyDescent="0.2">
      <c r="A206" s="2" t="str">
        <f>HYPERLINK("https://otsuka-europe-crm.veevavault.com/ui/#object/multichannel_activity__v/V9VZ025E82935E6", "MCA-000026189")</f>
        <v>MCA-000026189</v>
      </c>
      <c r="B206" s="3" t="s">
        <v>9</v>
      </c>
      <c r="C206" s="2" t="str">
        <f>HYPERLINK("https://otsuka-europe-crm.veevavault.com/ui/#object/sent_email__v/VBLZ025E82GV2OZ", "SE-000278391")</f>
        <v>SE-000278391</v>
      </c>
      <c r="D206" s="2" t="str">
        <f t="shared" si="28"/>
        <v>Nicoletta Vozza</v>
      </c>
      <c r="E206" s="2" t="str">
        <f>HYPERLINK("https://otsuka-europe-crm.veevavault.com/ui/#object/account__v/V4TZ04ASGBCISJ5", "CHIARA PICCO")</f>
        <v>CHIARA PICCO</v>
      </c>
      <c r="F206" s="4">
        <v>45922.336134259262</v>
      </c>
      <c r="G206" s="2" t="str">
        <f t="shared" si="29"/>
        <v>AE Masterclass</v>
      </c>
      <c r="H206" s="3" t="s">
        <v>27</v>
      </c>
      <c r="I206" s="2" t="str">
        <f t="shared" si="30"/>
        <v>Integration User</v>
      </c>
    </row>
    <row r="207" spans="1:9" x14ac:dyDescent="0.2">
      <c r="A207" s="2" t="str">
        <f>HYPERLINK("https://otsuka-europe-crm.veevavault.com/ui/#object/multichannel_activity__v/V9VZ025E829390P", "MCA-000026190")</f>
        <v>MCA-000026190</v>
      </c>
      <c r="B207" s="3" t="s">
        <v>13</v>
      </c>
      <c r="C207" s="2" t="str">
        <f>HYPERLINK("https://otsuka-europe-crm.veevavault.com/ui/#object/sent_email__v/VBLZ025E82GV2P6", "SE-000278398")</f>
        <v>SE-000278398</v>
      </c>
      <c r="D207" s="2" t="str">
        <f t="shared" si="28"/>
        <v>Nicoletta Vozza</v>
      </c>
      <c r="E207" s="2" t="str">
        <f>HYPERLINK("https://otsuka-europe-crm.veevavault.com/ui/#object/account__v/V4TZ025E84IHR61", "MATILDE DEMARCHI")</f>
        <v>MATILDE DEMARCHI</v>
      </c>
      <c r="F207" s="4">
        <v>45922.336006944446</v>
      </c>
      <c r="G207" s="2" t="str">
        <f t="shared" si="29"/>
        <v>AE Masterclass</v>
      </c>
      <c r="H207" s="3" t="s">
        <v>27</v>
      </c>
      <c r="I207" s="2" t="str">
        <f t="shared" si="30"/>
        <v>Integration User</v>
      </c>
    </row>
    <row r="208" spans="1:9" x14ac:dyDescent="0.2">
      <c r="A208" s="2" t="str">
        <f>HYPERLINK("https://otsuka-europe-crm.veevavault.com/ui/#object/multichannel_activity__v/V9VZ025E8293991", "MCA-000026192")</f>
        <v>MCA-000026192</v>
      </c>
      <c r="B208" s="3" t="s">
        <v>9</v>
      </c>
      <c r="C208" s="2" t="str">
        <f>HYPERLINK("https://otsuka-europe-crm.veevavault.com/ui/#object/sent_email__v/VBLZ025E82GV2ZP", "SE-000278777")</f>
        <v>SE-000278777</v>
      </c>
      <c r="D208" s="2" t="str">
        <f t="shared" si="28"/>
        <v>Nicoletta Vozza</v>
      </c>
      <c r="E208" s="2" t="str">
        <f>HYPERLINK("https://otsuka-europe-crm.veevavault.com/ui/#object/account__v/V4TZ06G6O71SAN7", "GIOVANNI D'AGOSTINI")</f>
        <v>GIOVANNI D'AGOSTINI</v>
      </c>
      <c r="F208" s="4">
        <v>45922.336041666669</v>
      </c>
      <c r="G208" s="2" t="str">
        <f t="shared" si="29"/>
        <v>AE Masterclass</v>
      </c>
      <c r="H208" s="3" t="s">
        <v>27</v>
      </c>
      <c r="I208" s="2" t="str">
        <f t="shared" si="30"/>
        <v>Integration User</v>
      </c>
    </row>
    <row r="209" spans="1:9" x14ac:dyDescent="0.2">
      <c r="A209" s="2" t="str">
        <f>HYPERLINK("https://otsuka-europe-crm.veevavault.com/ui/#object/multichannel_activity__v/V9VZ025E82939BT", "MCA-000026193")</f>
        <v>MCA-000026193</v>
      </c>
      <c r="B209" s="3" t="s">
        <v>9</v>
      </c>
      <c r="C209" s="2" t="str">
        <f>HYPERLINK("https://otsuka-europe-crm.veevavault.com/ui/#object/sent_email__v/VBLZ025E82GV2ZP", "SE-000278777")</f>
        <v>SE-000278777</v>
      </c>
      <c r="D209" s="2" t="str">
        <f t="shared" si="28"/>
        <v>Nicoletta Vozza</v>
      </c>
      <c r="E209" s="2" t="str">
        <f>HYPERLINK("https://otsuka-europe-crm.veevavault.com/ui/#object/account__v/V4TZ06G6O71SAN7", "GIOVANNI D'AGOSTINI")</f>
        <v>GIOVANNI D'AGOSTINI</v>
      </c>
      <c r="F209" s="4">
        <v>45922.336041666669</v>
      </c>
      <c r="G209" s="2" t="str">
        <f t="shared" si="29"/>
        <v>AE Masterclass</v>
      </c>
      <c r="H209" s="3" t="s">
        <v>27</v>
      </c>
      <c r="I209" s="2" t="str">
        <f t="shared" si="30"/>
        <v>Integration User</v>
      </c>
    </row>
    <row r="210" spans="1:9" x14ac:dyDescent="0.2">
      <c r="A210" s="2" t="str">
        <f>HYPERLINK("https://otsuka-europe-crm.veevavault.com/ui/#object/multichannel_activity__v/V9VZ025E8293F6X", "MCA-000026214")</f>
        <v>MCA-000026214</v>
      </c>
      <c r="B210" s="3" t="s">
        <v>9</v>
      </c>
      <c r="C210" s="2" t="str">
        <f>HYPERLINK("https://otsuka-europe-crm.veevavault.com/ui/#object/sent_email__v/VBLZ025E82GV33D", "SE-000278909")</f>
        <v>SE-000278909</v>
      </c>
      <c r="D210" s="2" t="str">
        <f t="shared" si="28"/>
        <v>Nicoletta Vozza</v>
      </c>
      <c r="E210" s="2" t="str">
        <f>HYPERLINK("https://otsuka-europe-crm.veevavault.com/ui/#object/account__v/V4TZ06G6O71SBFC", "FRANCESCO SALVATORE MARRA")</f>
        <v>FRANCESCO SALVATORE MARRA</v>
      </c>
      <c r="F210" s="4">
        <v>45922.336006944446</v>
      </c>
      <c r="G210" s="2" t="str">
        <f t="shared" si="29"/>
        <v>AE Masterclass</v>
      </c>
      <c r="H210" s="3" t="s">
        <v>27</v>
      </c>
      <c r="I210" s="2" t="str">
        <f t="shared" si="30"/>
        <v>Integration User</v>
      </c>
    </row>
    <row r="211" spans="1:9" x14ac:dyDescent="0.2">
      <c r="A211" s="2" t="str">
        <f>HYPERLINK("https://otsuka-europe-crm.veevavault.com/ui/#object/multichannel_activity__v/V9VZ025E8293GNP", "MCA-000026216")</f>
        <v>MCA-000026216</v>
      </c>
      <c r="B211" s="3" t="s">
        <v>9</v>
      </c>
      <c r="C211" s="2" t="str">
        <f>HYPERLINK("https://otsuka-europe-crm.veevavault.com/ui/#object/sent_email__v/VBLZ025E82GV2O3", "SE-000278359")</f>
        <v>SE-000278359</v>
      </c>
      <c r="D211" s="2" t="str">
        <f t="shared" si="28"/>
        <v>Nicoletta Vozza</v>
      </c>
      <c r="E211" s="2" t="str">
        <f>HYPERLINK("https://otsuka-europe-crm.veevavault.com/ui/#object/account__v/V4TZ06G6O71SBLY", "ANGELA MARIA MULE'")</f>
        <v>ANGELA MARIA MULE'</v>
      </c>
      <c r="F211" s="4">
        <v>45922.335902777777</v>
      </c>
      <c r="G211" s="2" t="str">
        <f t="shared" si="29"/>
        <v>AE Masterclass</v>
      </c>
      <c r="H211" s="3" t="s">
        <v>27</v>
      </c>
      <c r="I211" s="2" t="str">
        <f t="shared" si="30"/>
        <v>Integration User</v>
      </c>
    </row>
    <row r="212" spans="1:9" x14ac:dyDescent="0.2">
      <c r="A212" s="2" t="str">
        <f>HYPERLINK("https://otsuka-europe-crm.veevavault.com/ui/#object/multichannel_activity__v/V9VZ025E8293H9X", "MCA-000026218")</f>
        <v>MCA-000026218</v>
      </c>
      <c r="B212" s="3" t="s">
        <v>9</v>
      </c>
      <c r="C212" s="2" t="str">
        <f>HYPERLINK("https://otsuka-europe-crm.veevavault.com/ui/#object/sent_email__v/VBLZ025E82GWM6P", "SE-000279756")</f>
        <v>SE-000279756</v>
      </c>
      <c r="D212" s="2" t="str">
        <f>HYPERLINK("https://otsuka-europe-crm.veevavault.com/ui/#object/user__sys/27667808", "Marina Maccaglia")</f>
        <v>Marina Maccaglia</v>
      </c>
      <c r="E212" s="2" t="str">
        <f>HYPERLINK("https://otsuka-europe-crm.veevavault.com/ui/#object/account__v/V4TZ06G6O9VFIWG", "LORIS VESCERA")</f>
        <v>LORIS VESCERA</v>
      </c>
      <c r="F212" s="4">
        <v>45922.717199074075</v>
      </c>
      <c r="G212" s="2" t="str">
        <f>HYPERLINK("https://otsuka-europe-crm.veevavault.com/ui/#object/approved_document__v/V5OZ025E82T9SYL", "OTSUKA_ABILIFY 960/720_Branded_AE lancio 960/720_IT-AM2-2500122")</f>
        <v>OTSUKA_ABILIFY 960/720_Branded_AE lancio 960/720_IT-AM2-2500122</v>
      </c>
      <c r="H212" s="3" t="s">
        <v>28</v>
      </c>
      <c r="I212" s="2" t="str">
        <f t="shared" si="30"/>
        <v>Integration User</v>
      </c>
    </row>
    <row r="213" spans="1:9" x14ac:dyDescent="0.2">
      <c r="A213" s="2" t="str">
        <f>HYPERLINK("https://otsuka-europe-crm.veevavault.com/ui/#object/multichannel_activity__v/V9VZ025E8293HCP", "MCA-000026219")</f>
        <v>MCA-000026219</v>
      </c>
      <c r="B213" s="3" t="s">
        <v>9</v>
      </c>
      <c r="C213" s="2" t="str">
        <f>HYPERLINK("https://otsuka-europe-crm.veevavault.com/ui/#object/sent_email__v/VBLZ025E82GWM6P", "SE-000279756")</f>
        <v>SE-000279756</v>
      </c>
      <c r="D213" s="2" t="str">
        <f>HYPERLINK("https://otsuka-europe-crm.veevavault.com/ui/#object/user__sys/27667808", "Marina Maccaglia")</f>
        <v>Marina Maccaglia</v>
      </c>
      <c r="E213" s="2" t="str">
        <f>HYPERLINK("https://otsuka-europe-crm.veevavault.com/ui/#object/account__v/V4TZ06G6O9VFIWG", "LORIS VESCERA")</f>
        <v>LORIS VESCERA</v>
      </c>
      <c r="F213" s="4">
        <v>45922.717199074075</v>
      </c>
      <c r="G213" s="2" t="str">
        <f>HYPERLINK("https://otsuka-europe-crm.veevavault.com/ui/#object/approved_document__v/V5OZ025E82T9SYL", "OTSUKA_ABILIFY 960/720_Branded_AE lancio 960/720_IT-AM2-2500122")</f>
        <v>OTSUKA_ABILIFY 960/720_Branded_AE lancio 960/720_IT-AM2-2500122</v>
      </c>
      <c r="H213" s="3" t="s">
        <v>28</v>
      </c>
      <c r="I213" s="2" t="str">
        <f t="shared" si="30"/>
        <v>Integration User</v>
      </c>
    </row>
    <row r="214" spans="1:9" x14ac:dyDescent="0.2">
      <c r="A214" s="2" t="str">
        <f>HYPERLINK("https://otsuka-europe-crm.veevavault.com/ui/#object/multichannel_activity__v/V9VZ025E8293HL1", "MCA-000026220")</f>
        <v>MCA-000026220</v>
      </c>
      <c r="B214" s="3" t="s">
        <v>9</v>
      </c>
      <c r="C214" s="2" t="str">
        <f>HYPERLINK("https://otsuka-europe-crm.veevavault.com/ui/#object/sent_email__v/VBLZ025E82GV377", "SE-000279047")</f>
        <v>SE-000279047</v>
      </c>
      <c r="D214" s="2" t="str">
        <f t="shared" ref="D214:D220" si="31">HYPERLINK("https://otsuka-europe-crm.veevavault.com/ui/#object/user__sys/4385075", "Nicoletta Vozza")</f>
        <v>Nicoletta Vozza</v>
      </c>
      <c r="E214" s="2" t="str">
        <f>HYPERLINK("https://otsuka-europe-crm.veevavault.com/ui/#object/account__v/V4TZ06G6O71SBK0", "ALESSANDRA MOLLICA")</f>
        <v>ALESSANDRA MOLLICA</v>
      </c>
      <c r="F214" s="4">
        <v>45922.335787037038</v>
      </c>
      <c r="G214" s="2" t="str">
        <f t="shared" ref="G214:G226" si="32">HYPERLINK("https://otsuka-europe-crm.veevavault.com/ui/#object/approved_document__v/V5OZ025E82TSVX5", "AE Masterclass")</f>
        <v>AE Masterclass</v>
      </c>
      <c r="H214" s="3" t="s">
        <v>27</v>
      </c>
      <c r="I214" s="2" t="str">
        <f t="shared" si="30"/>
        <v>Integration User</v>
      </c>
    </row>
    <row r="215" spans="1:9" x14ac:dyDescent="0.2">
      <c r="A215" s="2" t="str">
        <f>HYPERLINK("https://otsuka-europe-crm.veevavault.com/ui/#object/multichannel_activity__v/V9VZ025E8293QX5", "MCA-000026247")</f>
        <v>MCA-000026247</v>
      </c>
      <c r="B215" s="3" t="s">
        <v>9</v>
      </c>
      <c r="C215" s="2" t="str">
        <f>HYPERLINK("https://otsuka-europe-crm.veevavault.com/ui/#object/sent_email__v/VBLZ025E82GV27U", "SE-000277774")</f>
        <v>SE-000277774</v>
      </c>
      <c r="D215" s="2" t="str">
        <f t="shared" si="31"/>
        <v>Nicoletta Vozza</v>
      </c>
      <c r="E215" s="2" t="str">
        <f>HYPERLINK("https://otsuka-europe-crm.veevavault.com/ui/#object/account__v/V4TZ06G6O71S9XJ", "DANIELA AMATO")</f>
        <v>DANIELA AMATO</v>
      </c>
      <c r="F215" s="4">
        <v>45922.335543981484</v>
      </c>
      <c r="G215" s="2" t="str">
        <f t="shared" si="32"/>
        <v>AE Masterclass</v>
      </c>
      <c r="H215" s="3" t="s">
        <v>27</v>
      </c>
      <c r="I215" s="2" t="str">
        <f t="shared" si="30"/>
        <v>Integration User</v>
      </c>
    </row>
    <row r="216" spans="1:9" x14ac:dyDescent="0.2">
      <c r="A216" s="2" t="str">
        <f>HYPERLINK("https://otsuka-europe-crm.veevavault.com/ui/#object/multichannel_activity__v/V9VZ025E8293R2P", "MCA-000026248")</f>
        <v>MCA-000026248</v>
      </c>
      <c r="B216" s="3" t="s">
        <v>9</v>
      </c>
      <c r="C216" s="2" t="str">
        <f>HYPERLINK("https://otsuka-europe-crm.veevavault.com/ui/#object/sent_email__v/VBLZ025E82GV2B2", "SE-000277890")</f>
        <v>SE-000277890</v>
      </c>
      <c r="D216" s="2" t="str">
        <f t="shared" si="31"/>
        <v>Nicoletta Vozza</v>
      </c>
      <c r="E216" s="2" t="str">
        <f>HYPERLINK("https://otsuka-europe-crm.veevavault.com/ui/#object/account__v/V4TZ04ASG9RHQBA", "GIOVANNI LAERA")</f>
        <v>GIOVANNI LAERA</v>
      </c>
      <c r="F216" s="4">
        <v>45922.335914351854</v>
      </c>
      <c r="G216" s="2" t="str">
        <f t="shared" si="32"/>
        <v>AE Masterclass</v>
      </c>
      <c r="H216" s="3" t="s">
        <v>27</v>
      </c>
      <c r="I216" s="2" t="str">
        <f t="shared" si="30"/>
        <v>Integration User</v>
      </c>
    </row>
    <row r="217" spans="1:9" x14ac:dyDescent="0.2">
      <c r="A217" s="2" t="str">
        <f>HYPERLINK("https://otsuka-europe-crm.veevavault.com/ui/#object/multichannel_activity__v/V9VZ025E829400X", "MCA-000026279")</f>
        <v>MCA-000026279</v>
      </c>
      <c r="B217" s="3" t="s">
        <v>9</v>
      </c>
      <c r="C217" s="2" t="str">
        <f>HYPERLINK("https://otsuka-europe-crm.veevavault.com/ui/#object/sent_email__v/VBLZ025E82GV2EN", "SE-000278019")</f>
        <v>SE-000278019</v>
      </c>
      <c r="D217" s="2" t="str">
        <f t="shared" si="31"/>
        <v>Nicoletta Vozza</v>
      </c>
      <c r="E217" s="2" t="str">
        <f>HYPERLINK("https://otsuka-europe-crm.veevavault.com/ui/#object/account__v/V4TZ06G6ODNMWFD", "FRANCESCA MAGNANO SAN LIO")</f>
        <v>FRANCESCA MAGNANO SAN LIO</v>
      </c>
      <c r="F217" s="4">
        <v>45922.335821759261</v>
      </c>
      <c r="G217" s="2" t="str">
        <f t="shared" si="32"/>
        <v>AE Masterclass</v>
      </c>
      <c r="H217" s="3" t="s">
        <v>27</v>
      </c>
      <c r="I217" s="2" t="str">
        <f t="shared" si="30"/>
        <v>Integration User</v>
      </c>
    </row>
    <row r="218" spans="1:9" x14ac:dyDescent="0.2">
      <c r="A218" s="2" t="str">
        <f>HYPERLINK("https://otsuka-europe-crm.veevavault.com/ui/#object/multichannel_activity__v/V9VZ025E82941HP", "MCA-000026288")</f>
        <v>MCA-000026288</v>
      </c>
      <c r="B218" s="3" t="s">
        <v>9</v>
      </c>
      <c r="C218" s="2" t="str">
        <f>HYPERLINK("https://otsuka-europe-crm.veevavault.com/ui/#object/sent_email__v/VBLZ025E82GV3F1", "SE-000279329")</f>
        <v>SE-000279329</v>
      </c>
      <c r="D218" s="2" t="str">
        <f t="shared" si="31"/>
        <v>Nicoletta Vozza</v>
      </c>
      <c r="E218" s="2" t="str">
        <f>HYPERLINK("https://otsuka-europe-crm.veevavault.com/ui/#object/account__v/V4TZ025E83TNEVH", "ROBERTO CROCI")</f>
        <v>ROBERTO CROCI</v>
      </c>
      <c r="F218" s="4">
        <v>45922.335717592592</v>
      </c>
      <c r="G218" s="2" t="str">
        <f t="shared" si="32"/>
        <v>AE Masterclass</v>
      </c>
      <c r="H218" s="3" t="s">
        <v>27</v>
      </c>
      <c r="I218" s="2" t="str">
        <f t="shared" si="30"/>
        <v>Integration User</v>
      </c>
    </row>
    <row r="219" spans="1:9" x14ac:dyDescent="0.2">
      <c r="A219" s="2" t="str">
        <f>HYPERLINK("https://otsuka-europe-crm.veevavault.com/ui/#object/multichannel_activity__v/V9VZ025E82942ND", "MCA-000026290")</f>
        <v>MCA-000026290</v>
      </c>
      <c r="B219" s="3" t="s">
        <v>9</v>
      </c>
      <c r="C219" s="2" t="str">
        <f>HYPERLINK("https://otsuka-europe-crm.veevavault.com/ui/#object/sent_email__v/VBLZ025E82GV3F1", "SE-000279329")</f>
        <v>SE-000279329</v>
      </c>
      <c r="D219" s="2" t="str">
        <f t="shared" si="31"/>
        <v>Nicoletta Vozza</v>
      </c>
      <c r="E219" s="2" t="str">
        <f>HYPERLINK("https://otsuka-europe-crm.veevavault.com/ui/#object/account__v/V4TZ025E83TNEVH", "ROBERTO CROCI")</f>
        <v>ROBERTO CROCI</v>
      </c>
      <c r="F219" s="4">
        <v>45922.335717592592</v>
      </c>
      <c r="G219" s="2" t="str">
        <f t="shared" si="32"/>
        <v>AE Masterclass</v>
      </c>
      <c r="H219" s="3" t="s">
        <v>27</v>
      </c>
      <c r="I219" s="2" t="str">
        <f t="shared" si="30"/>
        <v>Integration User</v>
      </c>
    </row>
    <row r="220" spans="1:9" x14ac:dyDescent="0.2">
      <c r="A220" s="2" t="str">
        <f>HYPERLINK("https://otsuka-europe-crm.veevavault.com/ui/#object/multichannel_activity__v/V9VZ025E82942Q5", "MCA-000026291")</f>
        <v>MCA-000026291</v>
      </c>
      <c r="B220" s="3" t="s">
        <v>9</v>
      </c>
      <c r="C220" s="2" t="str">
        <f>HYPERLINK("https://otsuka-europe-crm.veevavault.com/ui/#object/sent_email__v/VBLZ025E82GV3F1", "SE-000279329")</f>
        <v>SE-000279329</v>
      </c>
      <c r="D220" s="2" t="str">
        <f t="shared" si="31"/>
        <v>Nicoletta Vozza</v>
      </c>
      <c r="E220" s="2" t="str">
        <f>HYPERLINK("https://otsuka-europe-crm.veevavault.com/ui/#object/account__v/V4TZ025E83TNEVH", "ROBERTO CROCI")</f>
        <v>ROBERTO CROCI</v>
      </c>
      <c r="F220" s="4">
        <v>45922.335717592592</v>
      </c>
      <c r="G220" s="2" t="str">
        <f t="shared" si="32"/>
        <v>AE Masterclass</v>
      </c>
      <c r="H220" s="3" t="s">
        <v>27</v>
      </c>
      <c r="I220" s="2" t="str">
        <f t="shared" si="30"/>
        <v>Integration User</v>
      </c>
    </row>
    <row r="221" spans="1:9" x14ac:dyDescent="0.2">
      <c r="A221" s="2" t="str">
        <f>HYPERLINK("https://otsuka-europe-crm.veevavault.com/ui/#object/multichannel_activity__v/V9VZ025E82947CT", "MCA-000026318")</f>
        <v>MCA-000026318</v>
      </c>
      <c r="B221" s="3" t="s">
        <v>9</v>
      </c>
      <c r="C221" s="2" t="str">
        <f>HYPERLINK("https://otsuka-europe-crm.veevavault.com/ui/#object/sent_email__v/VBLZ025E82GZUMD", "SE-000280762")</f>
        <v>SE-000280762</v>
      </c>
      <c r="D221" s="2" t="str">
        <f>HYPERLINK("https://otsuka-europe-crm.veevavault.com/ui/#object/user__sys/27667804", "Maria Gargiulo")</f>
        <v>Maria Gargiulo</v>
      </c>
      <c r="E221" s="2" t="str">
        <f>HYPERLINK("https://otsuka-europe-crm.veevavault.com/ui/#object/account__v/V4TZ025E875ETAF", "TERESA SISSY MARINIELLO")</f>
        <v>TERESA SISSY MARINIELLO</v>
      </c>
      <c r="F221" s="4">
        <v>45925.457488425927</v>
      </c>
      <c r="G221" s="2" t="str">
        <f t="shared" si="32"/>
        <v>AE Masterclass</v>
      </c>
      <c r="H221" s="3" t="s">
        <v>27</v>
      </c>
      <c r="I221" s="2" t="str">
        <f t="shared" si="30"/>
        <v>Integration User</v>
      </c>
    </row>
    <row r="222" spans="1:9" x14ac:dyDescent="0.2">
      <c r="A222" s="2" t="str">
        <f>HYPERLINK("https://otsuka-europe-crm.veevavault.com/ui/#object/multichannel_activity__v/V9VZ025E8294BD9", "MCA-000026322")</f>
        <v>MCA-000026322</v>
      </c>
      <c r="B222" s="3" t="s">
        <v>9</v>
      </c>
      <c r="C222" s="2" t="str">
        <f>HYPERLINK("https://otsuka-europe-crm.veevavault.com/ui/#object/sent_email__v/VBLZ025E82GZUMD", "SE-000280762")</f>
        <v>SE-000280762</v>
      </c>
      <c r="D222" s="2" t="str">
        <f>HYPERLINK("https://otsuka-europe-crm.veevavault.com/ui/#object/user__sys/27667804", "Maria Gargiulo")</f>
        <v>Maria Gargiulo</v>
      </c>
      <c r="E222" s="2" t="str">
        <f>HYPERLINK("https://otsuka-europe-crm.veevavault.com/ui/#object/account__v/V4TZ025E875ETAF", "TERESA SISSY MARINIELLO")</f>
        <v>TERESA SISSY MARINIELLO</v>
      </c>
      <c r="F222" s="4">
        <v>45925.457488425927</v>
      </c>
      <c r="G222" s="2" t="str">
        <f t="shared" si="32"/>
        <v>AE Masterclass</v>
      </c>
      <c r="H222" s="3" t="s">
        <v>27</v>
      </c>
      <c r="I222" s="2" t="str">
        <f t="shared" si="30"/>
        <v>Integration User</v>
      </c>
    </row>
    <row r="223" spans="1:9" x14ac:dyDescent="0.2">
      <c r="A223" s="2" t="str">
        <f>HYPERLINK("https://otsuka-europe-crm.veevavault.com/ui/#object/multichannel_activity__v/V9VZ025E8294CLP", "MCA-000026325")</f>
        <v>MCA-000026325</v>
      </c>
      <c r="B223" s="3" t="s">
        <v>9</v>
      </c>
      <c r="C223" s="2" t="str">
        <f>HYPERLINK("https://otsuka-europe-crm.veevavault.com/ui/#object/sent_email__v/VBLZ025E82GV2O3", "SE-000278359")</f>
        <v>SE-000278359</v>
      </c>
      <c r="D223" s="2" t="str">
        <f>HYPERLINK("https://otsuka-europe-crm.veevavault.com/ui/#object/user__sys/4385075", "Nicoletta Vozza")</f>
        <v>Nicoletta Vozza</v>
      </c>
      <c r="E223" s="2" t="str">
        <f>HYPERLINK("https://otsuka-europe-crm.veevavault.com/ui/#object/account__v/V4TZ06G6O71SBLY", "ANGELA MARIA MULE'")</f>
        <v>ANGELA MARIA MULE'</v>
      </c>
      <c r="F223" s="4">
        <v>45922.335902777777</v>
      </c>
      <c r="G223" s="2" t="str">
        <f t="shared" si="32"/>
        <v>AE Masterclass</v>
      </c>
      <c r="H223" s="3" t="s">
        <v>27</v>
      </c>
      <c r="I223" s="2" t="str">
        <f t="shared" si="30"/>
        <v>Integration User</v>
      </c>
    </row>
    <row r="224" spans="1:9" x14ac:dyDescent="0.2">
      <c r="A224" s="2" t="str">
        <f>HYPERLINK("https://otsuka-europe-crm.veevavault.com/ui/#object/multichannel_activity__v/V9VZ025E8294CZL", "MCA-000026326")</f>
        <v>MCA-000026326</v>
      </c>
      <c r="B224" s="3" t="s">
        <v>9</v>
      </c>
      <c r="C224" s="2" t="str">
        <f>HYPERLINK("https://otsuka-europe-crm.veevavault.com/ui/#object/sent_email__v/VBLZ025E82GZUMD", "SE-000280762")</f>
        <v>SE-000280762</v>
      </c>
      <c r="D224" s="2" t="str">
        <f>HYPERLINK("https://otsuka-europe-crm.veevavault.com/ui/#object/user__sys/27667804", "Maria Gargiulo")</f>
        <v>Maria Gargiulo</v>
      </c>
      <c r="E224" s="2" t="str">
        <f>HYPERLINK("https://otsuka-europe-crm.veevavault.com/ui/#object/account__v/V4TZ025E875ETAF", "TERESA SISSY MARINIELLO")</f>
        <v>TERESA SISSY MARINIELLO</v>
      </c>
      <c r="F224" s="4">
        <v>45925.457488425927</v>
      </c>
      <c r="G224" s="2" t="str">
        <f t="shared" si="32"/>
        <v>AE Masterclass</v>
      </c>
      <c r="H224" s="3" t="s">
        <v>27</v>
      </c>
      <c r="I224" s="2" t="str">
        <f t="shared" si="30"/>
        <v>Integration User</v>
      </c>
    </row>
    <row r="225" spans="1:9" x14ac:dyDescent="0.2">
      <c r="A225" s="2" t="str">
        <f>HYPERLINK("https://otsuka-europe-crm.veevavault.com/ui/#object/multichannel_activity__v/V9VZ025E8294D55", "MCA-000026327")</f>
        <v>MCA-000026327</v>
      </c>
      <c r="B225" s="3" t="s">
        <v>9</v>
      </c>
      <c r="C225" s="2" t="str">
        <f>HYPERLINK("https://otsuka-europe-crm.veevavault.com/ui/#object/sent_email__v/VBLZ025E82GV2GX", "SE-000278101")</f>
        <v>SE-000278101</v>
      </c>
      <c r="D225" s="2" t="str">
        <f>HYPERLINK("https://otsuka-europe-crm.veevavault.com/ui/#object/user__sys/4385075", "Nicoletta Vozza")</f>
        <v>Nicoletta Vozza</v>
      </c>
      <c r="E225" s="2" t="str">
        <f>HYPERLINK("https://otsuka-europe-crm.veevavault.com/ui/#object/account__v/V4TZ04ASGB4K8N0", "FRANCESCA MONTELEONE")</f>
        <v>FRANCESCA MONTELEONE</v>
      </c>
      <c r="F225" s="4">
        <v>45922.336041666669</v>
      </c>
      <c r="G225" s="2" t="str">
        <f t="shared" si="32"/>
        <v>AE Masterclass</v>
      </c>
      <c r="H225" s="3" t="s">
        <v>27</v>
      </c>
      <c r="I225" s="2" t="str">
        <f t="shared" si="30"/>
        <v>Integration User</v>
      </c>
    </row>
    <row r="226" spans="1:9" x14ac:dyDescent="0.2">
      <c r="A226" s="2" t="str">
        <f>HYPERLINK("https://otsuka-europe-crm.veevavault.com/ui/#object/multichannel_activity__v/V9VZ025E8294D7X", "MCA-000026328")</f>
        <v>MCA-000026328</v>
      </c>
      <c r="B226" s="3" t="s">
        <v>9</v>
      </c>
      <c r="C226" s="2" t="str">
        <f>HYPERLINK("https://otsuka-europe-crm.veevavault.com/ui/#object/sent_email__v/VBLZ025E82GV2GX", "SE-000278101")</f>
        <v>SE-000278101</v>
      </c>
      <c r="D226" s="2" t="str">
        <f>HYPERLINK("https://otsuka-europe-crm.veevavault.com/ui/#object/user__sys/4385075", "Nicoletta Vozza")</f>
        <v>Nicoletta Vozza</v>
      </c>
      <c r="E226" s="2" t="str">
        <f>HYPERLINK("https://otsuka-europe-crm.veevavault.com/ui/#object/account__v/V4TZ04ASGB4K8N0", "FRANCESCA MONTELEONE")</f>
        <v>FRANCESCA MONTELEONE</v>
      </c>
      <c r="F226" s="4">
        <v>45922.336041666669</v>
      </c>
      <c r="G226" s="2" t="str">
        <f t="shared" si="32"/>
        <v>AE Masterclass</v>
      </c>
      <c r="H226" s="3" t="s">
        <v>27</v>
      </c>
      <c r="I226" s="2" t="str">
        <f t="shared" si="30"/>
        <v>Integration User</v>
      </c>
    </row>
    <row r="227" spans="1:9" x14ac:dyDescent="0.2">
      <c r="A227" s="2" t="str">
        <f>HYPERLINK("https://otsuka-europe-crm.veevavault.com/ui/#object/multichannel_activity__v/V9VZ025E8294EJ5", "MCA-000026331")</f>
        <v>MCA-000026331</v>
      </c>
      <c r="B227" s="3" t="s">
        <v>13</v>
      </c>
      <c r="C227" s="2" t="str">
        <f>HYPERLINK("https://otsuka-europe-crm.veevavault.com/ui/#object/sent_email__v/VBLZ025E82H12GA", "SE-000281011")</f>
        <v>SE-000281011</v>
      </c>
      <c r="D227" s="2" t="str">
        <f t="shared" ref="D227:D234" si="33">HYPERLINK("https://otsuka-europe-crm.veevavault.com/ui/#object/user__sys/27667860", "Andreas Teichmann")</f>
        <v>Andreas Teichmann</v>
      </c>
      <c r="E227" s="2" t="str">
        <f>HYPERLINK("https://otsuka-europe-crm.veevavault.com/ui/#object/account__v/V4TZ06G6OBI6BJI", "Daniel Sasca")</f>
        <v>Daniel Sasca</v>
      </c>
      <c r="F227" s="4">
        <v>45926.326793981483</v>
      </c>
      <c r="G227" s="2" t="str">
        <f t="shared" ref="G227:G234" si="34">HYPERLINK("https://otsuka-europe-crm.veevavault.com/ui/#object/approved_document__v/V5OZ025E82U22VW", "INA VAE DE - EHA 2025 Otsuka Symposium")</f>
        <v>INA VAE DE - EHA 2025 Otsuka Symposium</v>
      </c>
      <c r="H227" s="3" t="s">
        <v>29</v>
      </c>
      <c r="I227" s="2" t="str">
        <f t="shared" si="30"/>
        <v>Integration User</v>
      </c>
    </row>
    <row r="228" spans="1:9" x14ac:dyDescent="0.2">
      <c r="A228" s="2" t="str">
        <f>HYPERLINK("https://otsuka-europe-crm.veevavault.com/ui/#object/multichannel_activity__v/V9VZ025E8294ELX", "MCA-000026332")</f>
        <v>MCA-000026332</v>
      </c>
      <c r="B228" s="3" t="s">
        <v>13</v>
      </c>
      <c r="C228" s="2" t="str">
        <f>HYPERLINK("https://otsuka-europe-crm.veevavault.com/ui/#object/sent_email__v/VBLZ025E82H12GA", "SE-000281011")</f>
        <v>SE-000281011</v>
      </c>
      <c r="D228" s="2" t="str">
        <f t="shared" si="33"/>
        <v>Andreas Teichmann</v>
      </c>
      <c r="E228" s="2" t="str">
        <f>HYPERLINK("https://otsuka-europe-crm.veevavault.com/ui/#object/account__v/V4TZ06G6OBI6BJI", "Daniel Sasca")</f>
        <v>Daniel Sasca</v>
      </c>
      <c r="F228" s="4">
        <v>45926.326793981483</v>
      </c>
      <c r="G228" s="2" t="str">
        <f t="shared" si="34"/>
        <v>INA VAE DE - EHA 2025 Otsuka Symposium</v>
      </c>
      <c r="H228" s="3" t="s">
        <v>29</v>
      </c>
      <c r="I228" s="2" t="str">
        <f t="shared" si="30"/>
        <v>Integration User</v>
      </c>
    </row>
    <row r="229" spans="1:9" x14ac:dyDescent="0.2">
      <c r="A229" s="2" t="str">
        <f>HYPERLINK("https://otsuka-europe-crm.veevavault.com/ui/#object/multichannel_activity__v/V9VZ025E8294EOP", "MCA-000026333")</f>
        <v>MCA-000026333</v>
      </c>
      <c r="B229" s="3" t="s">
        <v>9</v>
      </c>
      <c r="C229" s="2" t="str">
        <f>HYPERLINK("https://otsuka-europe-crm.veevavault.com/ui/#object/sent_email__v/VBLZ025E82H12G8", "SE-000281009")</f>
        <v>SE-000281009</v>
      </c>
      <c r="D229" s="2" t="str">
        <f t="shared" si="33"/>
        <v>Andreas Teichmann</v>
      </c>
      <c r="E229" s="2" t="str">
        <f>HYPERLINK("https://otsuka-europe-crm.veevavault.com/ui/#object/account__v/V4TZ00000634VYD", "Georg Heß")</f>
        <v>Georg Heß</v>
      </c>
      <c r="F229" s="4">
        <v>45926.326782407406</v>
      </c>
      <c r="G229" s="2" t="str">
        <f t="shared" si="34"/>
        <v>INA VAE DE - EHA 2025 Otsuka Symposium</v>
      </c>
      <c r="H229" s="3" t="s">
        <v>29</v>
      </c>
      <c r="I229" s="2" t="str">
        <f t="shared" si="30"/>
        <v>Integration User</v>
      </c>
    </row>
    <row r="230" spans="1:9" x14ac:dyDescent="0.2">
      <c r="A230" s="2" t="str">
        <f>HYPERLINK("https://otsuka-europe-crm.veevavault.com/ui/#object/multichannel_activity__v/V9VZ025E8294ERH", "MCA-000026334")</f>
        <v>MCA-000026334</v>
      </c>
      <c r="B230" s="3" t="s">
        <v>9</v>
      </c>
      <c r="C230" s="2" t="str">
        <f>HYPERLINK("https://otsuka-europe-crm.veevavault.com/ui/#object/sent_email__v/VBLZ025E82H12G8", "SE-000281009")</f>
        <v>SE-000281009</v>
      </c>
      <c r="D230" s="2" t="str">
        <f t="shared" si="33"/>
        <v>Andreas Teichmann</v>
      </c>
      <c r="E230" s="2" t="str">
        <f>HYPERLINK("https://otsuka-europe-crm.veevavault.com/ui/#object/account__v/V4TZ00000634VYD", "Georg Heß")</f>
        <v>Georg Heß</v>
      </c>
      <c r="F230" s="4">
        <v>45926.326782407406</v>
      </c>
      <c r="G230" s="2" t="str">
        <f t="shared" si="34"/>
        <v>INA VAE DE - EHA 2025 Otsuka Symposium</v>
      </c>
      <c r="H230" s="3" t="s">
        <v>29</v>
      </c>
      <c r="I230" s="2" t="str">
        <f t="shared" si="30"/>
        <v>Integration User</v>
      </c>
    </row>
    <row r="231" spans="1:9" x14ac:dyDescent="0.2">
      <c r="A231" s="2" t="str">
        <f>HYPERLINK("https://otsuka-europe-crm.veevavault.com/ui/#object/multichannel_activity__v/V9VZ025E8294ELY", "MCA-000026335")</f>
        <v>MCA-000026335</v>
      </c>
      <c r="B231" s="3" t="s">
        <v>13</v>
      </c>
      <c r="C231" s="2" t="str">
        <f>HYPERLINK("https://otsuka-europe-crm.veevavault.com/ui/#object/sent_email__v/VBLZ025E82H12G8", "SE-000281009")</f>
        <v>SE-000281009</v>
      </c>
      <c r="D231" s="2" t="str">
        <f t="shared" si="33"/>
        <v>Andreas Teichmann</v>
      </c>
      <c r="E231" s="2" t="str">
        <f>HYPERLINK("https://otsuka-europe-crm.veevavault.com/ui/#object/account__v/V4TZ00000634VYD", "Georg Heß")</f>
        <v>Georg Heß</v>
      </c>
      <c r="F231" s="4">
        <v>45926.326782407406</v>
      </c>
      <c r="G231" s="2" t="str">
        <f t="shared" si="34"/>
        <v>INA VAE DE - EHA 2025 Otsuka Symposium</v>
      </c>
      <c r="H231" s="3" t="s">
        <v>29</v>
      </c>
      <c r="I231" s="2" t="str">
        <f t="shared" si="30"/>
        <v>Integration User</v>
      </c>
    </row>
    <row r="232" spans="1:9" x14ac:dyDescent="0.2">
      <c r="A232" s="2" t="str">
        <f>HYPERLINK("https://otsuka-europe-crm.veevavault.com/ui/#object/multichannel_activity__v/V9VZ025E8294EU9", "MCA-000026336")</f>
        <v>MCA-000026336</v>
      </c>
      <c r="B232" s="3" t="s">
        <v>13</v>
      </c>
      <c r="C232" s="2" t="str">
        <f>HYPERLINK("https://otsuka-europe-crm.veevavault.com/ui/#object/sent_email__v/VBLZ025E82H12G8", "SE-000281009")</f>
        <v>SE-000281009</v>
      </c>
      <c r="D232" s="2" t="str">
        <f t="shared" si="33"/>
        <v>Andreas Teichmann</v>
      </c>
      <c r="E232" s="2" t="str">
        <f>HYPERLINK("https://otsuka-europe-crm.veevavault.com/ui/#object/account__v/V4TZ00000634VYD", "Georg Heß")</f>
        <v>Georg Heß</v>
      </c>
      <c r="F232" s="4">
        <v>45926.326782407406</v>
      </c>
      <c r="G232" s="2" t="str">
        <f t="shared" si="34"/>
        <v>INA VAE DE - EHA 2025 Otsuka Symposium</v>
      </c>
      <c r="H232" s="3" t="s">
        <v>29</v>
      </c>
      <c r="I232" s="2" t="str">
        <f t="shared" si="30"/>
        <v>Integration User</v>
      </c>
    </row>
    <row r="233" spans="1:9" x14ac:dyDescent="0.2">
      <c r="A233" s="2" t="str">
        <f>HYPERLINK("https://otsuka-europe-crm.veevavault.com/ui/#object/multichannel_activity__v/V9VZ025E8294EX1", "MCA-000026337")</f>
        <v>MCA-000026337</v>
      </c>
      <c r="B233" s="3" t="s">
        <v>9</v>
      </c>
      <c r="C233" s="2" t="str">
        <f>HYPERLINK("https://otsuka-europe-crm.veevavault.com/ui/#object/sent_email__v/VBLZ025E82H12GA", "SE-000281011")</f>
        <v>SE-000281011</v>
      </c>
      <c r="D233" s="2" t="str">
        <f t="shared" si="33"/>
        <v>Andreas Teichmann</v>
      </c>
      <c r="E233" s="2" t="str">
        <f>HYPERLINK("https://otsuka-europe-crm.veevavault.com/ui/#object/account__v/V4TZ06G6OBI6BJI", "Daniel Sasca")</f>
        <v>Daniel Sasca</v>
      </c>
      <c r="F233" s="4">
        <v>45926.326793981483</v>
      </c>
      <c r="G233" s="2" t="str">
        <f t="shared" si="34"/>
        <v>INA VAE DE - EHA 2025 Otsuka Symposium</v>
      </c>
      <c r="H233" s="3" t="s">
        <v>29</v>
      </c>
      <c r="I233" s="2" t="str">
        <f t="shared" si="30"/>
        <v>Integration User</v>
      </c>
    </row>
    <row r="234" spans="1:9" x14ac:dyDescent="0.2">
      <c r="A234" s="2" t="str">
        <f>HYPERLINK("https://otsuka-europe-crm.veevavault.com/ui/#object/multichannel_activity__v/V9VZ025E8294EZT", "MCA-000026338")</f>
        <v>MCA-000026338</v>
      </c>
      <c r="B234" s="3" t="s">
        <v>9</v>
      </c>
      <c r="C234" s="2" t="str">
        <f>HYPERLINK("https://otsuka-europe-crm.veevavault.com/ui/#object/sent_email__v/VBLZ025E82H12GA", "SE-000281011")</f>
        <v>SE-000281011</v>
      </c>
      <c r="D234" s="2" t="str">
        <f t="shared" si="33"/>
        <v>Andreas Teichmann</v>
      </c>
      <c r="E234" s="2" t="str">
        <f>HYPERLINK("https://otsuka-europe-crm.veevavault.com/ui/#object/account__v/V4TZ06G6OBI6BJI", "Daniel Sasca")</f>
        <v>Daniel Sasca</v>
      </c>
      <c r="F234" s="4">
        <v>45926.326793981483</v>
      </c>
      <c r="G234" s="2" t="str">
        <f t="shared" si="34"/>
        <v>INA VAE DE - EHA 2025 Otsuka Symposium</v>
      </c>
      <c r="H234" s="3" t="s">
        <v>29</v>
      </c>
      <c r="I234" s="2" t="str">
        <f t="shared" si="30"/>
        <v>Integration User</v>
      </c>
    </row>
    <row r="235" spans="1:9" x14ac:dyDescent="0.2">
      <c r="A235" s="2" t="str">
        <f>HYPERLINK("https://otsuka-europe-crm.veevavault.com/ui/#object/multichannel_activity__v/V9VZ025E82954GH", "MCA-000026384")</f>
        <v>MCA-000026384</v>
      </c>
      <c r="B235" s="3" t="s">
        <v>9</v>
      </c>
      <c r="C235" s="2" t="str">
        <f>HYPERLINK("https://otsuka-europe-crm.veevavault.com/ui/#object/sent_email__v/VBLZ025E82GWSD0", "SE-000279971")</f>
        <v>SE-000279971</v>
      </c>
      <c r="D235" s="2" t="str">
        <f>HYPERLINK("https://otsuka-europe-crm.veevavault.com/ui/#object/user__sys/27667734", "MANUEL GRAVAN")</f>
        <v>MANUEL GRAVAN</v>
      </c>
      <c r="E235" s="2" t="str">
        <f>HYPERLINK("https://otsuka-europe-crm.veevavault.com/ui/#object/account__v/V4TZ06G6O71T9FU", "PEDRO FERNANDO CAMPO GUERRAS")</f>
        <v>PEDRO FERNANDO CAMPO GUERRAS</v>
      </c>
      <c r="F235" s="4">
        <v>45930.377083333333</v>
      </c>
      <c r="G235" s="2" t="str">
        <f>HYPERLINK("https://otsuka-europe-crm.veevavault.com/ui/#object/approved_document__v/V5OZ025E82TP0C6", "PSIQUIATRÍA - Guía de Manejo Psicoterapéutico")</f>
        <v>PSIQUIATRÍA - Guía de Manejo Psicoterapéutico</v>
      </c>
      <c r="H235" s="3" t="s">
        <v>26</v>
      </c>
      <c r="I235" s="2" t="str">
        <f t="shared" si="30"/>
        <v>Integration User</v>
      </c>
    </row>
    <row r="236" spans="1:9" x14ac:dyDescent="0.2">
      <c r="A236" s="2" t="str">
        <f>HYPERLINK("https://otsuka-europe-crm.veevavault.com/ui/#object/multichannel_activity__v/V9VZ025E82954UD", "MCA-000026388")</f>
        <v>MCA-000026388</v>
      </c>
      <c r="B236" s="3" t="s">
        <v>9</v>
      </c>
      <c r="C236" s="2" t="str">
        <f>HYPERLINK("https://otsuka-europe-crm.veevavault.com/ui/#object/sent_email__v/VBLZ025E82GWSD0", "SE-000279971")</f>
        <v>SE-000279971</v>
      </c>
      <c r="D236" s="2" t="str">
        <f>HYPERLINK("https://otsuka-europe-crm.veevavault.com/ui/#object/user__sys/27667734", "MANUEL GRAVAN")</f>
        <v>MANUEL GRAVAN</v>
      </c>
      <c r="E236" s="2" t="str">
        <f>HYPERLINK("https://otsuka-europe-crm.veevavault.com/ui/#object/account__v/V4TZ06G6O71T9FU", "PEDRO FERNANDO CAMPO GUERRAS")</f>
        <v>PEDRO FERNANDO CAMPO GUERRAS</v>
      </c>
      <c r="F236" s="4">
        <v>45930.377083333333</v>
      </c>
      <c r="G236" s="2" t="str">
        <f>HYPERLINK("https://otsuka-europe-crm.veevavault.com/ui/#object/approved_document__v/V5OZ025E82TP0C6", "PSIQUIATRÍA - Guía de Manejo Psicoterapéutico")</f>
        <v>PSIQUIATRÍA - Guía de Manejo Psicoterapéutico</v>
      </c>
      <c r="H236" s="3" t="s">
        <v>26</v>
      </c>
      <c r="I236" s="2" t="str">
        <f t="shared" si="30"/>
        <v>Integration User</v>
      </c>
    </row>
    <row r="237" spans="1:9" x14ac:dyDescent="0.2">
      <c r="A237" s="2" t="str">
        <f>HYPERLINK("https://otsuka-europe-crm.veevavault.com/ui/#object/multichannel_activity__v/V9VZ025E8295E0X", "MCA-000026399")</f>
        <v>MCA-000026399</v>
      </c>
      <c r="B237" s="3" t="s">
        <v>9</v>
      </c>
      <c r="C237" s="2" t="str">
        <f>HYPERLINK("https://otsuka-europe-crm.veevavault.com/ui/#object/sent_email__v/VBLZ025E82GV2X5", "SE-000278685")</f>
        <v>SE-000278685</v>
      </c>
      <c r="D237" s="2" t="str">
        <f>HYPERLINK("https://otsuka-europe-crm.veevavault.com/ui/#object/user__sys/4385075", "Nicoletta Vozza")</f>
        <v>Nicoletta Vozza</v>
      </c>
      <c r="E237" s="2" t="str">
        <f>HYPERLINK("https://otsuka-europe-crm.veevavault.com/ui/#object/account__v/V4TZ06G6O71SAXX", "GIUSEPPA CALABRO'")</f>
        <v>GIUSEPPA CALABRO'</v>
      </c>
      <c r="F237" s="4">
        <v>45922.335833333331</v>
      </c>
      <c r="G237" s="2" t="str">
        <f>HYPERLINK("https://otsuka-europe-crm.veevavault.com/ui/#object/approved_document__v/V5OZ025E82TSVX5", "AE Masterclass")</f>
        <v>AE Masterclass</v>
      </c>
      <c r="H237" s="3" t="s">
        <v>27</v>
      </c>
      <c r="I237" s="2" t="str">
        <f t="shared" si="30"/>
        <v>Integration User</v>
      </c>
    </row>
    <row r="238" spans="1:9" x14ac:dyDescent="0.2">
      <c r="A238" s="2" t="str">
        <f>HYPERLINK("https://otsuka-europe-crm.veevavault.com/ui/#object/multichannel_activity__v/V9VZ025E8295EHL", "MCA-000026402")</f>
        <v>MCA-000026402</v>
      </c>
      <c r="B238" s="3" t="s">
        <v>9</v>
      </c>
      <c r="C238" s="2" t="str">
        <f>HYPERLINK("https://otsuka-europe-crm.veevavault.com/ui/#object/sent_email__v/VBLZ025E82GV2X5", "SE-000278685")</f>
        <v>SE-000278685</v>
      </c>
      <c r="D238" s="2" t="str">
        <f>HYPERLINK("https://otsuka-europe-crm.veevavault.com/ui/#object/user__sys/4385075", "Nicoletta Vozza")</f>
        <v>Nicoletta Vozza</v>
      </c>
      <c r="E238" s="2" t="str">
        <f>HYPERLINK("https://otsuka-europe-crm.veevavault.com/ui/#object/account__v/V4TZ06G6O71SAXX", "GIUSEPPA CALABRO'")</f>
        <v>GIUSEPPA CALABRO'</v>
      </c>
      <c r="F238" s="4">
        <v>45922.335833333331</v>
      </c>
      <c r="G238" s="2" t="str">
        <f>HYPERLINK("https://otsuka-europe-crm.veevavault.com/ui/#object/approved_document__v/V5OZ025E82TSVX5", "AE Masterclass")</f>
        <v>AE Masterclass</v>
      </c>
      <c r="H238" s="3" t="s">
        <v>27</v>
      </c>
      <c r="I238" s="2" t="str">
        <f t="shared" si="30"/>
        <v>Integration User</v>
      </c>
    </row>
    <row r="239" spans="1:9" x14ac:dyDescent="0.2">
      <c r="A239" s="2" t="str">
        <f>HYPERLINK("https://otsuka-europe-crm.veevavault.com/ui/#object/multichannel_activity__v/V9VZ025E8295LTH", "MCA-000026422")</f>
        <v>MCA-000026422</v>
      </c>
      <c r="B239" s="3" t="s">
        <v>9</v>
      </c>
      <c r="C239" s="2" t="str">
        <f>HYPERLINK("https://otsuka-europe-crm.veevavault.com/ui/#object/sent_email__v/VBLZ025E82GWSDG", "SE-000279987")</f>
        <v>SE-000279987</v>
      </c>
      <c r="D239" s="2" t="str">
        <f>HYPERLINK("https://otsuka-europe-crm.veevavault.com/ui/#object/user__sys/27667734", "MANUEL GRAVAN")</f>
        <v>MANUEL GRAVAN</v>
      </c>
      <c r="E239" s="2" t="str">
        <f>HYPERLINK("https://otsuka-europe-crm.veevavault.com/ui/#object/account__v/V4TZ06G6O71TBIW", "JOSE MANUEL PEREA SAENZ")</f>
        <v>JOSE MANUEL PEREA SAENZ</v>
      </c>
      <c r="F239" s="4">
        <v>45930.377071759256</v>
      </c>
      <c r="G239" s="2" t="str">
        <f>HYPERLINK("https://otsuka-europe-crm.veevavault.com/ui/#object/approved_document__v/V5OZ025E82TP0C6", "PSIQUIATRÍA - Guía de Manejo Psicoterapéutico")</f>
        <v>PSIQUIATRÍA - Guía de Manejo Psicoterapéutico</v>
      </c>
      <c r="H239" s="3" t="s">
        <v>26</v>
      </c>
      <c r="I239" s="2" t="str">
        <f t="shared" si="30"/>
        <v>Integration User</v>
      </c>
    </row>
    <row r="240" spans="1:9" x14ac:dyDescent="0.2">
      <c r="A240" s="2" t="str">
        <f>HYPERLINK("https://otsuka-europe-crm.veevavault.com/ui/#object/multichannel_activity__v/V9VZ025E8295P4X", "MCA-000026431")</f>
        <v>MCA-000026431</v>
      </c>
      <c r="B240" s="3" t="s">
        <v>9</v>
      </c>
      <c r="C240" s="2" t="str">
        <f>HYPERLINK("https://otsuka-europe-crm.veevavault.com/ui/#object/sent_email__v/VBLZ025E82GWSBZ", "SE-000279966")</f>
        <v>SE-000279966</v>
      </c>
      <c r="D240" s="2" t="str">
        <f>HYPERLINK("https://otsuka-europe-crm.veevavault.com/ui/#object/user__sys/27667734", "MANUEL GRAVAN")</f>
        <v>MANUEL GRAVAN</v>
      </c>
      <c r="E240" s="2" t="str">
        <f>HYPERLINK("https://otsuka-europe-crm.veevavault.com/ui/#object/account__v/V4TZ06G6O71TCLJ", "ALICIA VIGLERIO MONTERO")</f>
        <v>ALICIA VIGLERIO MONTERO</v>
      </c>
      <c r="F240" s="4">
        <v>45930.377071759256</v>
      </c>
      <c r="G240" s="2" t="str">
        <f>HYPERLINK("https://otsuka-europe-crm.veevavault.com/ui/#object/approved_document__v/V5OZ025E82TP0C6", "PSIQUIATRÍA - Guía de Manejo Psicoterapéutico")</f>
        <v>PSIQUIATRÍA - Guía de Manejo Psicoterapéutico</v>
      </c>
      <c r="H240" s="3" t="s">
        <v>26</v>
      </c>
      <c r="I240" s="2" t="str">
        <f t="shared" si="30"/>
        <v>Integration User</v>
      </c>
    </row>
    <row r="241" spans="1:9" x14ac:dyDescent="0.2">
      <c r="A241" s="2" t="str">
        <f>HYPERLINK("https://otsuka-europe-crm.veevavault.com/ui/#object/multichannel_activity__v/V9VZ025E8295RZP", "MCA-000026433")</f>
        <v>MCA-000026433</v>
      </c>
      <c r="B241" s="3" t="s">
        <v>9</v>
      </c>
      <c r="C241" s="2" t="str">
        <f>HYPERLINK("https://otsuka-europe-crm.veevavault.com/ui/#object/sent_email__v/VBLZ025E82H7DLX", "SE-000282801")</f>
        <v>SE-000282801</v>
      </c>
      <c r="D241" s="2" t="str">
        <f>HYPERLINK("https://otsuka-europe-crm.veevavault.com/ui/#object/user__sys/27667814", "Linda Ottavo")</f>
        <v>Linda Ottavo</v>
      </c>
      <c r="E241" s="2" t="str">
        <f>HYPERLINK("https://otsuka-europe-crm.veevavault.com/ui/#object/account__v/V4TZ04ASGC0197N", "CATERINA NACLERIO")</f>
        <v>CATERINA NACLERIO</v>
      </c>
      <c r="F241" s="4">
        <v>45932.371747685182</v>
      </c>
      <c r="G241" s="2" t="str">
        <f>HYPERLINK("https://otsuka-europe-crm.veevavault.com/ui/#object/approved_document__v/V5OZ025E82S0X57", "LUPKYNIS_Branded_ studio Palmer - IT-LUP-2500010-Rheumatology")</f>
        <v>LUPKYNIS_Branded_ studio Palmer - IT-LUP-2500010-Rheumatology</v>
      </c>
      <c r="H241" s="3" t="s">
        <v>20</v>
      </c>
      <c r="I241" s="2" t="str">
        <f t="shared" si="30"/>
        <v>Integration User</v>
      </c>
    </row>
    <row r="242" spans="1:9" x14ac:dyDescent="0.2">
      <c r="A242" s="2" t="str">
        <f>HYPERLINK("https://otsuka-europe-crm.veevavault.com/ui/#object/multichannel_activity__v/V9VZ025E8295S2H", "MCA-000026434")</f>
        <v>MCA-000026434</v>
      </c>
      <c r="B242" s="3" t="s">
        <v>13</v>
      </c>
      <c r="C242" s="2" t="str">
        <f>HYPERLINK("https://otsuka-europe-crm.veevavault.com/ui/#object/sent_email__v/VBLZ025E82H7DLX", "SE-000282801")</f>
        <v>SE-000282801</v>
      </c>
      <c r="D242" s="2" t="str">
        <f>HYPERLINK("https://otsuka-europe-crm.veevavault.com/ui/#object/user__sys/27667814", "Linda Ottavo")</f>
        <v>Linda Ottavo</v>
      </c>
      <c r="E242" s="2" t="str">
        <f>HYPERLINK("https://otsuka-europe-crm.veevavault.com/ui/#object/account__v/V4TZ04ASGC0197N", "CATERINA NACLERIO")</f>
        <v>CATERINA NACLERIO</v>
      </c>
      <c r="F242" s="4">
        <v>45932.371747685182</v>
      </c>
      <c r="G242" s="2" t="str">
        <f>HYPERLINK("https://otsuka-europe-crm.veevavault.com/ui/#object/approved_document__v/V5OZ025E82S0X57", "LUPKYNIS_Branded_ studio Palmer - IT-LUP-2500010-Rheumatology")</f>
        <v>LUPKYNIS_Branded_ studio Palmer - IT-LUP-2500010-Rheumatology</v>
      </c>
      <c r="H242" s="3" t="s">
        <v>20</v>
      </c>
      <c r="I242" s="2" t="str">
        <f t="shared" si="30"/>
        <v>Integration User</v>
      </c>
    </row>
    <row r="243" spans="1:9" x14ac:dyDescent="0.2">
      <c r="A243" s="2" t="str">
        <f>HYPERLINK("https://otsuka-europe-crm.veevavault.com/ui/#object/multichannel_activity__v/V9VZ025E829646L", "MCA-000026453")</f>
        <v>MCA-000026453</v>
      </c>
      <c r="B243" s="3" t="s">
        <v>9</v>
      </c>
      <c r="C243" s="2" t="str">
        <f>HYPERLINK("https://otsuka-europe-crm.veevavault.com/ui/#object/sent_email__v/VBLZ025E82H93HP", "SE-000283101")</f>
        <v>SE-000283101</v>
      </c>
      <c r="D243" s="2" t="str">
        <f t="shared" ref="D243:D250" si="35">HYPERLINK("https://otsuka-europe-crm.veevavault.com/ui/#object/user__sys/27667800", "Gianpaolo Fichera")</f>
        <v>Gianpaolo Fichera</v>
      </c>
      <c r="E243" s="2" t="str">
        <f>HYPERLINK("https://otsuka-europe-crm.veevavault.com/ui/#object/account__v/V4TZ04ASGBCISJ5", "CHIARA PICCO")</f>
        <v>CHIARA PICCO</v>
      </c>
      <c r="F243" s="4">
        <v>45933.370162037034</v>
      </c>
      <c r="G243" s="2" t="str">
        <f t="shared" ref="G243:G250" si="36">HYPERLINK("https://otsuka-europe-crm.veevavault.com/ui/#object/approved_document__v/V5OZ025E82TTJZT", "OTSUKA_ABILIFY 960/720_AE  -  IT-AM-2500012")</f>
        <v>OTSUKA_ABILIFY 960/720_AE  -  IT-AM-2500012</v>
      </c>
      <c r="H243" s="3" t="s">
        <v>30</v>
      </c>
      <c r="I243" s="2" t="str">
        <f t="shared" si="30"/>
        <v>Integration User</v>
      </c>
    </row>
    <row r="244" spans="1:9" x14ac:dyDescent="0.2">
      <c r="A244" s="2" t="str">
        <f>HYPERLINK("https://otsuka-europe-crm.veevavault.com/ui/#object/multichannel_activity__v/V9VZ025E829649D", "MCA-000026454")</f>
        <v>MCA-000026454</v>
      </c>
      <c r="B244" s="3" t="s">
        <v>9</v>
      </c>
      <c r="C244" s="2" t="str">
        <f>HYPERLINK("https://otsuka-europe-crm.veevavault.com/ui/#object/sent_email__v/VBLZ025E82H93HP", "SE-000283101")</f>
        <v>SE-000283101</v>
      </c>
      <c r="D244" s="2" t="str">
        <f t="shared" si="35"/>
        <v>Gianpaolo Fichera</v>
      </c>
      <c r="E244" s="2" t="str">
        <f>HYPERLINK("https://otsuka-europe-crm.veevavault.com/ui/#object/account__v/V4TZ04ASGBCISJ5", "CHIARA PICCO")</f>
        <v>CHIARA PICCO</v>
      </c>
      <c r="F244" s="4">
        <v>45933.370162037034</v>
      </c>
      <c r="G244" s="2" t="str">
        <f t="shared" si="36"/>
        <v>OTSUKA_ABILIFY 960/720_AE  -  IT-AM-2500012</v>
      </c>
      <c r="H244" s="3" t="s">
        <v>30</v>
      </c>
      <c r="I244" s="2" t="str">
        <f t="shared" si="30"/>
        <v>Integration User</v>
      </c>
    </row>
    <row r="245" spans="1:9" x14ac:dyDescent="0.2">
      <c r="A245" s="2" t="str">
        <f>HYPERLINK("https://otsuka-europe-crm.veevavault.com/ui/#object/multichannel_activity__v/V9VZ025E82964C5", "MCA-000026455")</f>
        <v>MCA-000026455</v>
      </c>
      <c r="B245" s="3" t="s">
        <v>13</v>
      </c>
      <c r="C245" s="2" t="str">
        <f>HYPERLINK("https://otsuka-europe-crm.veevavault.com/ui/#object/sent_email__v/VBLZ025E82H93N9", "SE-000283103")</f>
        <v>SE-000283103</v>
      </c>
      <c r="D245" s="2" t="str">
        <f t="shared" si="35"/>
        <v>Gianpaolo Fichera</v>
      </c>
      <c r="E245" s="2" t="str">
        <f>HYPERLINK("https://otsuka-europe-crm.veevavault.com/ui/#object/account__v/V4TZ04ASGBCIS2N", "CLAUDIA MIGLIOZZI")</f>
        <v>CLAUDIA MIGLIOZZI</v>
      </c>
      <c r="F245" s="4">
        <v>45933.370555555557</v>
      </c>
      <c r="G245" s="2" t="str">
        <f t="shared" si="36"/>
        <v>OTSUKA_ABILIFY 960/720_AE  -  IT-AM-2500012</v>
      </c>
      <c r="H245" s="3" t="s">
        <v>30</v>
      </c>
      <c r="I245" s="2" t="str">
        <f t="shared" si="30"/>
        <v>Integration User</v>
      </c>
    </row>
    <row r="246" spans="1:9" x14ac:dyDescent="0.2">
      <c r="A246" s="2" t="str">
        <f>HYPERLINK("https://otsuka-europe-crm.veevavault.com/ui/#object/multichannel_activity__v/V9VZ025E82964EX", "MCA-000026456")</f>
        <v>MCA-000026456</v>
      </c>
      <c r="B246" s="3" t="s">
        <v>9</v>
      </c>
      <c r="C246" s="2" t="str">
        <f>HYPERLINK("https://otsuka-europe-crm.veevavault.com/ui/#object/sent_email__v/VBLZ025E82H93N9", "SE-000283103")</f>
        <v>SE-000283103</v>
      </c>
      <c r="D246" s="2" t="str">
        <f t="shared" si="35"/>
        <v>Gianpaolo Fichera</v>
      </c>
      <c r="E246" s="2" t="str">
        <f>HYPERLINK("https://otsuka-europe-crm.veevavault.com/ui/#object/account__v/V4TZ04ASGBCIS2N", "CLAUDIA MIGLIOZZI")</f>
        <v>CLAUDIA MIGLIOZZI</v>
      </c>
      <c r="F246" s="4">
        <v>45933.370555555557</v>
      </c>
      <c r="G246" s="2" t="str">
        <f t="shared" si="36"/>
        <v>OTSUKA_ABILIFY 960/720_AE  -  IT-AM-2500012</v>
      </c>
      <c r="H246" s="3" t="s">
        <v>30</v>
      </c>
      <c r="I246" s="2" t="str">
        <f t="shared" si="30"/>
        <v>Integration User</v>
      </c>
    </row>
    <row r="247" spans="1:9" x14ac:dyDescent="0.2">
      <c r="A247" s="2" t="str">
        <f>HYPERLINK("https://otsuka-europe-crm.veevavault.com/ui/#object/multichannel_activity__v/V9VZ025E82964HP", "MCA-000026457")</f>
        <v>MCA-000026457</v>
      </c>
      <c r="B247" s="3" t="s">
        <v>13</v>
      </c>
      <c r="C247" s="2" t="str">
        <f>HYPERLINK("https://otsuka-europe-crm.veevavault.com/ui/#object/sent_email__v/VBLZ025E82H93N9", "SE-000283103")</f>
        <v>SE-000283103</v>
      </c>
      <c r="D247" s="2" t="str">
        <f t="shared" si="35"/>
        <v>Gianpaolo Fichera</v>
      </c>
      <c r="E247" s="2" t="str">
        <f>HYPERLINK("https://otsuka-europe-crm.veevavault.com/ui/#object/account__v/V4TZ04ASGBCIS2N", "CLAUDIA MIGLIOZZI")</f>
        <v>CLAUDIA MIGLIOZZI</v>
      </c>
      <c r="F247" s="4">
        <v>45933.370555555557</v>
      </c>
      <c r="G247" s="2" t="str">
        <f t="shared" si="36"/>
        <v>OTSUKA_ABILIFY 960/720_AE  -  IT-AM-2500012</v>
      </c>
      <c r="H247" s="3" t="s">
        <v>30</v>
      </c>
      <c r="I247" s="2" t="str">
        <f t="shared" si="30"/>
        <v>Integration User</v>
      </c>
    </row>
    <row r="248" spans="1:9" x14ac:dyDescent="0.2">
      <c r="A248" s="2" t="str">
        <f>HYPERLINK("https://otsuka-europe-crm.veevavault.com/ui/#object/multichannel_activity__v/V9VZ025E82964KH", "MCA-000026458")</f>
        <v>MCA-000026458</v>
      </c>
      <c r="B248" s="3" t="s">
        <v>9</v>
      </c>
      <c r="C248" s="2" t="str">
        <f>HYPERLINK("https://otsuka-europe-crm.veevavault.com/ui/#object/sent_email__v/VBLZ025E82H93N9", "SE-000283103")</f>
        <v>SE-000283103</v>
      </c>
      <c r="D248" s="2" t="str">
        <f t="shared" si="35"/>
        <v>Gianpaolo Fichera</v>
      </c>
      <c r="E248" s="2" t="str">
        <f>HYPERLINK("https://otsuka-europe-crm.veevavault.com/ui/#object/account__v/V4TZ04ASGBCIS2N", "CLAUDIA MIGLIOZZI")</f>
        <v>CLAUDIA MIGLIOZZI</v>
      </c>
      <c r="F248" s="4">
        <v>45933.370555555557</v>
      </c>
      <c r="G248" s="2" t="str">
        <f t="shared" si="36"/>
        <v>OTSUKA_ABILIFY 960/720_AE  -  IT-AM-2500012</v>
      </c>
      <c r="H248" s="3" t="s">
        <v>30</v>
      </c>
      <c r="I248" s="2" t="str">
        <f t="shared" si="30"/>
        <v>Integration User</v>
      </c>
    </row>
    <row r="249" spans="1:9" x14ac:dyDescent="0.2">
      <c r="A249" s="2" t="str">
        <f>HYPERLINK("https://otsuka-europe-crm.veevavault.com/ui/#object/multichannel_activity__v/V9VZ025E8296641", "MCA-000026460")</f>
        <v>MCA-000026460</v>
      </c>
      <c r="B249" s="3" t="s">
        <v>9</v>
      </c>
      <c r="C249" s="2" t="str">
        <f>HYPERLINK("https://otsuka-europe-crm.veevavault.com/ui/#object/sent_email__v/VBLZ025E82H9FLV", "SE-000283244")</f>
        <v>SE-000283244</v>
      </c>
      <c r="D249" s="2" t="str">
        <f t="shared" si="35"/>
        <v>Gianpaolo Fichera</v>
      </c>
      <c r="E249" s="2" t="str">
        <f>HYPERLINK("https://otsuka-europe-crm.veevavault.com/ui/#object/account__v/V4TZ025E82XQQXX", "EMANUELA SPAGNOLINI")</f>
        <v>EMANUELA SPAGNOLINI</v>
      </c>
      <c r="F249" s="4">
        <v>45933.420601851853</v>
      </c>
      <c r="G249" s="2" t="str">
        <f t="shared" si="36"/>
        <v>OTSUKA_ABILIFY 960/720_AE  -  IT-AM-2500012</v>
      </c>
      <c r="H249" s="3" t="s">
        <v>30</v>
      </c>
      <c r="I249" s="2" t="str">
        <f t="shared" si="30"/>
        <v>Integration User</v>
      </c>
    </row>
    <row r="250" spans="1:9" x14ac:dyDescent="0.2">
      <c r="A250" s="2" t="str">
        <f>HYPERLINK("https://otsuka-europe-crm.veevavault.com/ui/#object/multichannel_activity__v/V9VZ025E829666T", "MCA-000026461")</f>
        <v>MCA-000026461</v>
      </c>
      <c r="B250" s="3" t="s">
        <v>9</v>
      </c>
      <c r="C250" s="2" t="str">
        <f>HYPERLINK("https://otsuka-europe-crm.veevavault.com/ui/#object/sent_email__v/VBLZ025E82H9FLV", "SE-000283244")</f>
        <v>SE-000283244</v>
      </c>
      <c r="D250" s="2" t="str">
        <f t="shared" si="35"/>
        <v>Gianpaolo Fichera</v>
      </c>
      <c r="E250" s="2" t="str">
        <f>HYPERLINK("https://otsuka-europe-crm.veevavault.com/ui/#object/account__v/V4TZ025E82XQQXX", "EMANUELA SPAGNOLINI")</f>
        <v>EMANUELA SPAGNOLINI</v>
      </c>
      <c r="F250" s="4">
        <v>45933.420601851853</v>
      </c>
      <c r="G250" s="2" t="str">
        <f t="shared" si="36"/>
        <v>OTSUKA_ABILIFY 960/720_AE  -  IT-AM-2500012</v>
      </c>
      <c r="H250" s="3" t="s">
        <v>30</v>
      </c>
      <c r="I250" s="2" t="str">
        <f t="shared" si="30"/>
        <v>Integration User</v>
      </c>
    </row>
    <row r="251" spans="1:9" x14ac:dyDescent="0.2">
      <c r="A251" s="2" t="str">
        <f>HYPERLINK("https://otsuka-europe-crm.veevavault.com/ui/#object/multichannel_activity__v/V9VZ025E8296GRD", "MCA-000026480")</f>
        <v>MCA-000026480</v>
      </c>
      <c r="B251" s="3" t="s">
        <v>13</v>
      </c>
      <c r="C251" s="2" t="str">
        <f>HYPERLINK("https://otsuka-europe-crm.veevavault.com/ui/#object/sent_email__v/VBLZ025E82GWSB2", "SE-000279933")</f>
        <v>SE-000279933</v>
      </c>
      <c r="D251" s="2" t="str">
        <f>HYPERLINK("https://otsuka-europe-crm.veevavault.com/ui/#object/user__sys/27667734", "MANUEL GRAVAN")</f>
        <v>MANUEL GRAVAN</v>
      </c>
      <c r="E251" s="2" t="str">
        <f>HYPERLINK("https://otsuka-europe-crm.veevavault.com/ui/#object/account__v/V4TZ06G6O71T86J", "MARIA JOSE LUQUE MARTIN")</f>
        <v>MARIA JOSE LUQUE MARTIN</v>
      </c>
      <c r="F251" s="4">
        <v>45930.377199074072</v>
      </c>
      <c r="G251" s="2" t="str">
        <f>HYPERLINK("https://otsuka-europe-crm.veevavault.com/ui/#object/approved_document__v/V5OZ025E82TP0C6", "PSIQUIATRÍA - Guía de Manejo Psicoterapéutico")</f>
        <v>PSIQUIATRÍA - Guía de Manejo Psicoterapéutico</v>
      </c>
      <c r="H251" s="3" t="s">
        <v>26</v>
      </c>
      <c r="I251" s="2" t="str">
        <f t="shared" si="30"/>
        <v>Integration User</v>
      </c>
    </row>
    <row r="252" spans="1:9" x14ac:dyDescent="0.2">
      <c r="A252" s="2" t="str">
        <f>HYPERLINK("https://otsuka-europe-crm.veevavault.com/ui/#object/multichannel_activity__v/V9VZ025E8296LXH", "MCA-000026505")</f>
        <v>MCA-000026505</v>
      </c>
      <c r="B252" s="3" t="s">
        <v>9</v>
      </c>
      <c r="C252" s="2" t="str">
        <f>HYPERLINK("https://otsuka-europe-crm.veevavault.com/ui/#object/sent_email__v/VBLZ025E82HBQBO", "SE-000283594")</f>
        <v>SE-000283594</v>
      </c>
      <c r="D252" s="2" t="str">
        <f>HYPERLINK("https://otsuka-europe-crm.veevavault.com/ui/#object/user__sys/27667846", "Claus Grassmann")</f>
        <v>Claus Grassmann</v>
      </c>
      <c r="E252" s="2" t="str">
        <f>HYPERLINK("https://otsuka-europe-crm.veevavault.com/ui/#object/account__v/V4TZ0000063534U", "Christoph Sippel")</f>
        <v>Christoph Sippel</v>
      </c>
      <c r="F252" s="4">
        <v>45936.571180555555</v>
      </c>
      <c r="G252" s="2" t="str">
        <f>HYPERLINK("https://otsuka-europe-crm.veevavault.com/ui/#object/approved_document__v/V5OZ025E82U3BUI", "INA VAE DE - Einladung DGHO 2025")</f>
        <v>INA VAE DE - Einladung DGHO 2025</v>
      </c>
      <c r="H252" s="3" t="s">
        <v>31</v>
      </c>
      <c r="I252" s="2" t="str">
        <f t="shared" si="30"/>
        <v>Integration User</v>
      </c>
    </row>
    <row r="253" spans="1:9" x14ac:dyDescent="0.2">
      <c r="A253" s="2" t="str">
        <f>HYPERLINK("https://otsuka-europe-crm.veevavault.com/ui/#object/multichannel_activity__v/V9VZ025E8296M09", "MCA-000026506")</f>
        <v>MCA-000026506</v>
      </c>
      <c r="B253" s="3" t="s">
        <v>13</v>
      </c>
      <c r="C253" s="2" t="str">
        <f>HYPERLINK("https://otsuka-europe-crm.veevavault.com/ui/#object/sent_email__v/VBLZ025E82HBQBO", "SE-000283594")</f>
        <v>SE-000283594</v>
      </c>
      <c r="D253" s="2" t="str">
        <f>HYPERLINK("https://otsuka-europe-crm.veevavault.com/ui/#object/user__sys/27667846", "Claus Grassmann")</f>
        <v>Claus Grassmann</v>
      </c>
      <c r="E253" s="2" t="str">
        <f>HYPERLINK("https://otsuka-europe-crm.veevavault.com/ui/#object/account__v/V4TZ0000063534U", "Christoph Sippel")</f>
        <v>Christoph Sippel</v>
      </c>
      <c r="F253" s="4">
        <v>45936.571180555555</v>
      </c>
      <c r="G253" s="2" t="str">
        <f>HYPERLINK("https://otsuka-europe-crm.veevavault.com/ui/#object/approved_document__v/V5OZ025E82U3BUI", "INA VAE DE - Einladung DGHO 2025")</f>
        <v>INA VAE DE - Einladung DGHO 2025</v>
      </c>
      <c r="H253" s="3" t="s">
        <v>31</v>
      </c>
      <c r="I253" s="2" t="str">
        <f t="shared" si="30"/>
        <v>Integration User</v>
      </c>
    </row>
    <row r="254" spans="1:9" x14ac:dyDescent="0.2">
      <c r="A254" s="2" t="str">
        <f>HYPERLINK("https://otsuka-europe-crm.veevavault.com/ui/#object/multichannel_activity__v/V9VZ025E8296M31", "MCA-000026507")</f>
        <v>MCA-000026507</v>
      </c>
      <c r="B254" s="3" t="s">
        <v>13</v>
      </c>
      <c r="C254" s="2" t="str">
        <f>HYPERLINK("https://otsuka-europe-crm.veevavault.com/ui/#object/sent_email__v/VBLZ025E82HBQBO", "SE-000283594")</f>
        <v>SE-000283594</v>
      </c>
      <c r="D254" s="2" t="str">
        <f>HYPERLINK("https://otsuka-europe-crm.veevavault.com/ui/#object/user__sys/27667846", "Claus Grassmann")</f>
        <v>Claus Grassmann</v>
      </c>
      <c r="E254" s="2" t="str">
        <f>HYPERLINK("https://otsuka-europe-crm.veevavault.com/ui/#object/account__v/V4TZ0000063534U", "Christoph Sippel")</f>
        <v>Christoph Sippel</v>
      </c>
      <c r="F254" s="4">
        <v>45936.571180555555</v>
      </c>
      <c r="G254" s="2" t="str">
        <f>HYPERLINK("https://otsuka-europe-crm.veevavault.com/ui/#object/approved_document__v/V5OZ025E82U3BUI", "INA VAE DE - Einladung DGHO 2025")</f>
        <v>INA VAE DE - Einladung DGHO 2025</v>
      </c>
      <c r="H254" s="3" t="s">
        <v>31</v>
      </c>
      <c r="I254" s="2" t="str">
        <f t="shared" si="30"/>
        <v>Integration User</v>
      </c>
    </row>
    <row r="255" spans="1:9" x14ac:dyDescent="0.2">
      <c r="A255" s="2" t="str">
        <f>HYPERLINK("https://otsuka-europe-crm.veevavault.com/ui/#object/multichannel_activity__v/V9VZ025E8296M5T", "MCA-000026508")</f>
        <v>MCA-000026508</v>
      </c>
      <c r="B255" s="3" t="s">
        <v>9</v>
      </c>
      <c r="C255" s="2" t="str">
        <f>HYPERLINK("https://otsuka-europe-crm.veevavault.com/ui/#object/sent_email__v/VBLZ025E82HBQBO", "SE-000283594")</f>
        <v>SE-000283594</v>
      </c>
      <c r="D255" s="2" t="str">
        <f>HYPERLINK("https://otsuka-europe-crm.veevavault.com/ui/#object/user__sys/27667846", "Claus Grassmann")</f>
        <v>Claus Grassmann</v>
      </c>
      <c r="E255" s="2" t="str">
        <f>HYPERLINK("https://otsuka-europe-crm.veevavault.com/ui/#object/account__v/V4TZ0000063534U", "Christoph Sippel")</f>
        <v>Christoph Sippel</v>
      </c>
      <c r="F255" s="4">
        <v>45936.571180555555</v>
      </c>
      <c r="G255" s="2" t="str">
        <f>HYPERLINK("https://otsuka-europe-crm.veevavault.com/ui/#object/approved_document__v/V5OZ025E82U3BUI", "INA VAE DE - Einladung DGHO 2025")</f>
        <v>INA VAE DE - Einladung DGHO 2025</v>
      </c>
      <c r="H255" s="3" t="s">
        <v>31</v>
      </c>
      <c r="I255" s="2" t="str">
        <f t="shared" si="30"/>
        <v>Integration User</v>
      </c>
    </row>
    <row r="256" spans="1:9" x14ac:dyDescent="0.2">
      <c r="A256" s="2" t="str">
        <f>HYPERLINK("https://otsuka-europe-crm.veevavault.com/ui/#object/multichannel_activity__v/V9VZ025E8296Q0P", "MCA-000026514")</f>
        <v>MCA-000026514</v>
      </c>
      <c r="B256" s="3" t="s">
        <v>9</v>
      </c>
      <c r="C256" s="2" t="str">
        <f>HYPERLINK("https://otsuka-europe-crm.veevavault.com/ui/#object/sent_email__v/VBLZ025E82HCGSE", "SE-000283654")</f>
        <v>SE-000283654</v>
      </c>
      <c r="D256" s="2" t="str">
        <f>HYPERLINK("https://otsuka-europe-crm.veevavault.com/ui/#object/user__sys/23350261", "Martina Sala Pallares")</f>
        <v>Martina Sala Pallares</v>
      </c>
      <c r="E256" s="2" t="str">
        <f>HYPERLINK("https://otsuka-europe-crm.veevavault.com/ui/#object/account__v/V4TZ06G6OA5WQFG", "TEST OPSA HCP TEST OPSA HCP")</f>
        <v>TEST OPSA HCP TEST OPSA HCP</v>
      </c>
      <c r="F256" s="4">
        <v>45937.315844907411</v>
      </c>
      <c r="G256" s="2" t="str">
        <f>HYPERLINK("https://otsuka-europe-crm.veevavault.com/ui/#object/approved_document__v/V5OZ025E82UF0DE", "RXULTI - Presentación indicación adolescentes y dosis 0,5 mg")</f>
        <v>RXULTI - Presentación indicación adolescentes y dosis 0,5 mg</v>
      </c>
      <c r="H256" s="3" t="s">
        <v>32</v>
      </c>
      <c r="I256" s="2" t="str">
        <f t="shared" si="30"/>
        <v>Integration User</v>
      </c>
    </row>
    <row r="257" spans="1:9" x14ac:dyDescent="0.2">
      <c r="A257" s="2" t="str">
        <f>HYPERLINK("https://otsuka-europe-crm.veevavault.com/ui/#object/multichannel_activity__v/V9VZ025E8296XI5", "MCA-000026554")</f>
        <v>MCA-000026554</v>
      </c>
      <c r="B257" s="3" t="s">
        <v>9</v>
      </c>
      <c r="C257" s="2" t="str">
        <f>HYPERLINK("https://otsuka-europe-crm.veevavault.com/ui/#object/sent_email__v/VBLZ025E82HE3YX", "SE-000284663")</f>
        <v>SE-000284663</v>
      </c>
      <c r="D257" s="2" t="str">
        <f>HYPERLINK("https://otsuka-europe-crm.veevavault.com/ui/#object/user__sys/27667800", "Gianpaolo Fichera")</f>
        <v>Gianpaolo Fichera</v>
      </c>
      <c r="E257" s="2" t="str">
        <f>HYPERLINK("https://otsuka-europe-crm.veevavault.com/ui/#object/account__v/V4TZ025E82WRPG6", "ANDREA MADARO")</f>
        <v>ANDREA MADARO</v>
      </c>
      <c r="F257" s="4">
        <v>45937.75640046296</v>
      </c>
      <c r="G257" s="2" t="str">
        <f>HYPERLINK("https://otsuka-europe-crm.veevavault.com/ui/#object/approved_document__v/V5OZ025E82TTJZT", "OTSUKA_ABILIFY 960/720_AE  -  IT-AM-2500012")</f>
        <v>OTSUKA_ABILIFY 960/720_AE  -  IT-AM-2500012</v>
      </c>
      <c r="H257" s="3" t="s">
        <v>30</v>
      </c>
      <c r="I257" s="2" t="str">
        <f t="shared" si="30"/>
        <v>Integration User</v>
      </c>
    </row>
    <row r="258" spans="1:9" x14ac:dyDescent="0.2">
      <c r="A258" s="2" t="str">
        <f>HYPERLINK("https://otsuka-europe-crm.veevavault.com/ui/#object/multichannel_activity__v/V9VZ025E8296XKX", "MCA-000026555")</f>
        <v>MCA-000026555</v>
      </c>
      <c r="B258" s="3" t="s">
        <v>9</v>
      </c>
      <c r="C258" s="2" t="str">
        <f>HYPERLINK("https://otsuka-europe-crm.veevavault.com/ui/#object/sent_email__v/VBLZ025E82HE3YX", "SE-000284663")</f>
        <v>SE-000284663</v>
      </c>
      <c r="D258" s="2" t="str">
        <f>HYPERLINK("https://otsuka-europe-crm.veevavault.com/ui/#object/user__sys/27667800", "Gianpaolo Fichera")</f>
        <v>Gianpaolo Fichera</v>
      </c>
      <c r="E258" s="2" t="str">
        <f>HYPERLINK("https://otsuka-europe-crm.veevavault.com/ui/#object/account__v/V4TZ025E82WRPG6", "ANDREA MADARO")</f>
        <v>ANDREA MADARO</v>
      </c>
      <c r="F258" s="4">
        <v>45937.75640046296</v>
      </c>
      <c r="G258" s="2" t="str">
        <f>HYPERLINK("https://otsuka-europe-crm.veevavault.com/ui/#object/approved_document__v/V5OZ025E82TTJZT", "OTSUKA_ABILIFY 960/720_AE  -  IT-AM-2500012")</f>
        <v>OTSUKA_ABILIFY 960/720_AE  -  IT-AM-2500012</v>
      </c>
      <c r="H258" s="3" t="s">
        <v>30</v>
      </c>
      <c r="I258" s="2" t="str">
        <f t="shared" ref="I258:I288" si="37">HYPERLINK("https://otsuka-europe-crm.veevavault.com/ui/#object/user__sys/27667712", "Integration User")</f>
        <v>Integration User</v>
      </c>
    </row>
    <row r="259" spans="1:9" x14ac:dyDescent="0.2">
      <c r="A259" s="2" t="str">
        <f>HYPERLINK("https://otsuka-europe-crm.veevavault.com/ui/#object/multichannel_activity__v/V9VZ025E82971TP", "MCA-000026567")</f>
        <v>MCA-000026567</v>
      </c>
      <c r="B259" s="3" t="s">
        <v>9</v>
      </c>
      <c r="C259" s="2" t="str">
        <f>HYPERLINK("https://otsuka-europe-crm.veevavault.com/ui/#object/sent_email__v/VBLZ025E82HEQNL", "SE-000284954")</f>
        <v>SE-000284954</v>
      </c>
      <c r="D259" s="2" t="str">
        <f>HYPERLINK("https://otsuka-europe-crm.veevavault.com/ui/#object/user__sys/23350261", "Martina Sala Pallares")</f>
        <v>Martina Sala Pallares</v>
      </c>
      <c r="E259" s="2" t="str">
        <f>HYPERLINK("https://otsuka-europe-crm.veevavault.com/ui/#object/account__v/V4TZ06G6OA5WQFG", "TEST OPSA HCP TEST OPSA HCP")</f>
        <v>TEST OPSA HCP TEST OPSA HCP</v>
      </c>
      <c r="F259" s="4">
        <v>45938.50335648148</v>
      </c>
      <c r="G259" s="2" t="str">
        <f t="shared" ref="G259:G274" si="38">HYPERLINK("https://otsuka-europe-crm.veevavault.com/ui/#object/approved_document__v/V5OZ025E82UF0DE", "RXULTI - Presentación indicación adolescentes y dosis 0,5 mg")</f>
        <v>RXULTI - Presentación indicación adolescentes y dosis 0,5 mg</v>
      </c>
      <c r="H259" s="3" t="s">
        <v>32</v>
      </c>
      <c r="I259" s="2" t="str">
        <f t="shared" si="37"/>
        <v>Integration User</v>
      </c>
    </row>
    <row r="260" spans="1:9" x14ac:dyDescent="0.2">
      <c r="A260" s="2" t="str">
        <f>HYPERLINK("https://otsuka-europe-crm.veevavault.com/ui/#object/multichannel_activity__v/V9VZ025E82971WH", "MCA-000026568")</f>
        <v>MCA-000026568</v>
      </c>
      <c r="B260" s="3" t="s">
        <v>13</v>
      </c>
      <c r="C260" s="2" t="str">
        <f>HYPERLINK("https://otsuka-europe-crm.veevavault.com/ui/#object/sent_email__v/VBLZ025E82HEQNL", "SE-000284954")</f>
        <v>SE-000284954</v>
      </c>
      <c r="D260" s="2" t="str">
        <f>HYPERLINK("https://otsuka-europe-crm.veevavault.com/ui/#object/user__sys/23350261", "Martina Sala Pallares")</f>
        <v>Martina Sala Pallares</v>
      </c>
      <c r="E260" s="2" t="str">
        <f>HYPERLINK("https://otsuka-europe-crm.veevavault.com/ui/#object/account__v/V4TZ06G6OA5WQFG", "TEST OPSA HCP TEST OPSA HCP")</f>
        <v>TEST OPSA HCP TEST OPSA HCP</v>
      </c>
      <c r="F260" s="4">
        <v>45938.50335648148</v>
      </c>
      <c r="G260" s="2" t="str">
        <f t="shared" si="38"/>
        <v>RXULTI - Presentación indicación adolescentes y dosis 0,5 mg</v>
      </c>
      <c r="H260" s="3" t="s">
        <v>32</v>
      </c>
      <c r="I260" s="2" t="str">
        <f t="shared" si="37"/>
        <v>Integration User</v>
      </c>
    </row>
    <row r="261" spans="1:9" x14ac:dyDescent="0.2">
      <c r="A261" s="2" t="str">
        <f>HYPERLINK("https://otsuka-europe-crm.veevavault.com/ui/#object/multichannel_activity__v/V9VZ025E82979GP", "MCA-000026593")</f>
        <v>MCA-000026593</v>
      </c>
      <c r="B261" s="3" t="s">
        <v>9</v>
      </c>
      <c r="C261" s="2" t="str">
        <f>HYPERLINK("https://otsuka-europe-crm.veevavault.com/ui/#object/sent_email__v/VBLZ025E82HE2U2", "SE-000284631")</f>
        <v>SE-000284631</v>
      </c>
      <c r="D261" s="2" t="str">
        <f>HYPERLINK("https://otsuka-europe-crm.veevavault.com/ui/#object/user__sys/27667734", "MANUEL GRAVAN")</f>
        <v>MANUEL GRAVAN</v>
      </c>
      <c r="E261" s="2" t="str">
        <f>HYPERLINK("https://otsuka-europe-crm.veevavault.com/ui/#object/account__v/V4TZ06G6O71TA5E", "CARLOS GUTIERREZ SANTALO")</f>
        <v>CARLOS GUTIERREZ SANTALO</v>
      </c>
      <c r="F261" s="4">
        <v>45937.718935185185</v>
      </c>
      <c r="G261" s="2" t="str">
        <f t="shared" si="38"/>
        <v>RXULTI - Presentación indicación adolescentes y dosis 0,5 mg</v>
      </c>
      <c r="H261" s="3" t="s">
        <v>32</v>
      </c>
      <c r="I261" s="2" t="str">
        <f t="shared" si="37"/>
        <v>Integration User</v>
      </c>
    </row>
    <row r="262" spans="1:9" x14ac:dyDescent="0.2">
      <c r="A262" s="2" t="str">
        <f>HYPERLINK("https://otsuka-europe-crm.veevavault.com/ui/#object/multichannel_activity__v/V9VZ025E8297FV9", "MCA-000026616")</f>
        <v>MCA-000026616</v>
      </c>
      <c r="B262" s="3" t="s">
        <v>13</v>
      </c>
      <c r="C262" s="2" t="str">
        <f>HYPERLINK("https://otsuka-europe-crm.veevavault.com/ui/#object/sent_email__v/VBLZ025E82HGMDS", "SE-000285726")</f>
        <v>SE-000285726</v>
      </c>
      <c r="D262" s="2" t="str">
        <f>HYPERLINK("https://otsuka-europe-crm.veevavault.com/ui/#object/user__sys/27667742", "ISABEL ORTEGA")</f>
        <v>ISABEL ORTEGA</v>
      </c>
      <c r="E262" s="2" t="str">
        <f>HYPERLINK("https://otsuka-europe-crm.veevavault.com/ui/#object/account__v/V4TZ06G6O71TBPP", "JUAN CARLOS PASCUAL MATEOS")</f>
        <v>JUAN CARLOS PASCUAL MATEOS</v>
      </c>
      <c r="F262" s="4">
        <v>45939.649976851855</v>
      </c>
      <c r="G262" s="2" t="str">
        <f t="shared" si="38"/>
        <v>RXULTI - Presentación indicación adolescentes y dosis 0,5 mg</v>
      </c>
      <c r="H262" s="3" t="s">
        <v>32</v>
      </c>
      <c r="I262" s="2" t="str">
        <f t="shared" si="37"/>
        <v>Integration User</v>
      </c>
    </row>
    <row r="263" spans="1:9" x14ac:dyDescent="0.2">
      <c r="A263" s="2" t="str">
        <f>HYPERLINK("https://otsuka-europe-crm.veevavault.com/ui/#object/multichannel_activity__v/V9VZ025E8297FY1", "MCA-000026617")</f>
        <v>MCA-000026617</v>
      </c>
      <c r="B263" s="3" t="s">
        <v>13</v>
      </c>
      <c r="C263" s="2" t="str">
        <f>HYPERLINK("https://otsuka-europe-crm.veevavault.com/ui/#object/sent_email__v/VBLZ025E82HGMDS", "SE-000285726")</f>
        <v>SE-000285726</v>
      </c>
      <c r="D263" s="2" t="str">
        <f>HYPERLINK("https://otsuka-europe-crm.veevavault.com/ui/#object/user__sys/27667742", "ISABEL ORTEGA")</f>
        <v>ISABEL ORTEGA</v>
      </c>
      <c r="E263" s="2" t="str">
        <f>HYPERLINK("https://otsuka-europe-crm.veevavault.com/ui/#object/account__v/V4TZ06G6O71TBPP", "JUAN CARLOS PASCUAL MATEOS")</f>
        <v>JUAN CARLOS PASCUAL MATEOS</v>
      </c>
      <c r="F263" s="4">
        <v>45939.649976851855</v>
      </c>
      <c r="G263" s="2" t="str">
        <f t="shared" si="38"/>
        <v>RXULTI - Presentación indicación adolescentes y dosis 0,5 mg</v>
      </c>
      <c r="H263" s="3" t="s">
        <v>32</v>
      </c>
      <c r="I263" s="2" t="str">
        <f t="shared" si="37"/>
        <v>Integration User</v>
      </c>
    </row>
    <row r="264" spans="1:9" x14ac:dyDescent="0.2">
      <c r="A264" s="2" t="str">
        <f>HYPERLINK("https://otsuka-europe-crm.veevavault.com/ui/#object/multichannel_activity__v/V9VZ025E8297G0T", "MCA-000026618")</f>
        <v>MCA-000026618</v>
      </c>
      <c r="B264" s="3" t="s">
        <v>13</v>
      </c>
      <c r="C264" s="2" t="str">
        <f>HYPERLINK("https://otsuka-europe-crm.veevavault.com/ui/#object/sent_email__v/VBLZ025E82HGMCA", "SE-000285672")</f>
        <v>SE-000285672</v>
      </c>
      <c r="D264" s="2" t="str">
        <f>HYPERLINK("https://otsuka-europe-crm.veevavault.com/ui/#object/user__sys/27667742", "ISABEL ORTEGA")</f>
        <v>ISABEL ORTEGA</v>
      </c>
      <c r="E264" s="2" t="str">
        <f>HYPERLINK("https://otsuka-europe-crm.veevavault.com/ui/#object/account__v/V4TZ06G6O71T8HK", "CARLO ALEMANY SANTAMARIA")</f>
        <v>CARLO ALEMANY SANTAMARIA</v>
      </c>
      <c r="F264" s="4">
        <v>45939.64943287037</v>
      </c>
      <c r="G264" s="2" t="str">
        <f t="shared" si="38"/>
        <v>RXULTI - Presentación indicación adolescentes y dosis 0,5 mg</v>
      </c>
      <c r="H264" s="3" t="s">
        <v>32</v>
      </c>
      <c r="I264" s="2" t="str">
        <f t="shared" si="37"/>
        <v>Integration User</v>
      </c>
    </row>
    <row r="265" spans="1:9" x14ac:dyDescent="0.2">
      <c r="A265" s="2" t="str">
        <f>HYPERLINK("https://otsuka-europe-crm.veevavault.com/ui/#object/multichannel_activity__v/V9VZ025E8297G3L", "MCA-000026619")</f>
        <v>MCA-000026619</v>
      </c>
      <c r="B265" s="3" t="s">
        <v>13</v>
      </c>
      <c r="C265" s="2" t="str">
        <f>HYPERLINK("https://otsuka-europe-crm.veevavault.com/ui/#object/sent_email__v/VBLZ025E82HGMCA", "SE-000285672")</f>
        <v>SE-000285672</v>
      </c>
      <c r="D265" s="2" t="str">
        <f>HYPERLINK("https://otsuka-europe-crm.veevavault.com/ui/#object/user__sys/27667742", "ISABEL ORTEGA")</f>
        <v>ISABEL ORTEGA</v>
      </c>
      <c r="E265" s="2" t="str">
        <f>HYPERLINK("https://otsuka-europe-crm.veevavault.com/ui/#object/account__v/V4TZ06G6O71T8HK", "CARLO ALEMANY SANTAMARIA")</f>
        <v>CARLO ALEMANY SANTAMARIA</v>
      </c>
      <c r="F265" s="4">
        <v>45939.64943287037</v>
      </c>
      <c r="G265" s="2" t="str">
        <f t="shared" si="38"/>
        <v>RXULTI - Presentación indicación adolescentes y dosis 0,5 mg</v>
      </c>
      <c r="H265" s="3" t="s">
        <v>32</v>
      </c>
      <c r="I265" s="2" t="str">
        <f t="shared" si="37"/>
        <v>Integration User</v>
      </c>
    </row>
    <row r="266" spans="1:9" x14ac:dyDescent="0.2">
      <c r="A266" s="2" t="str">
        <f>HYPERLINK("https://otsuka-europe-crm.veevavault.com/ui/#object/multichannel_activity__v/V9VZ025E8297I3T", "MCA-000026621")</f>
        <v>MCA-000026621</v>
      </c>
      <c r="B266" s="3" t="s">
        <v>9</v>
      </c>
      <c r="C266" s="2" t="str">
        <f>HYPERLINK("https://otsuka-europe-crm.veevavault.com/ui/#object/sent_email__v/VBLZ025E82HGTXY", "SE-000286051")</f>
        <v>SE-000286051</v>
      </c>
      <c r="D266" s="2" t="str">
        <f>HYPERLINK("https://otsuka-europe-crm.veevavault.com/ui/#object/user__sys/27667898", "SANTIAGO SECO")</f>
        <v>SANTIAGO SECO</v>
      </c>
      <c r="E266" s="2" t="str">
        <f>HYPERLINK("https://otsuka-europe-crm.veevavault.com/ui/#object/account__v/V4TZ06G6OCENKZD", "DAMIAN EZEQUIEL MARTINES")</f>
        <v>DAMIAN EZEQUIEL MARTINES</v>
      </c>
      <c r="F266" s="4">
        <v>45939.714062500003</v>
      </c>
      <c r="G266" s="2" t="str">
        <f t="shared" si="38"/>
        <v>RXULTI - Presentación indicación adolescentes y dosis 0,5 mg</v>
      </c>
      <c r="H266" s="3" t="s">
        <v>32</v>
      </c>
      <c r="I266" s="2" t="str">
        <f t="shared" si="37"/>
        <v>Integration User</v>
      </c>
    </row>
    <row r="267" spans="1:9" x14ac:dyDescent="0.2">
      <c r="A267" s="2" t="str">
        <f>HYPERLINK("https://otsuka-europe-crm.veevavault.com/ui/#object/multichannel_activity__v/V9VZ025E8297I6L", "MCA-000026622")</f>
        <v>MCA-000026622</v>
      </c>
      <c r="B267" s="3" t="s">
        <v>9</v>
      </c>
      <c r="C267" s="2" t="str">
        <f>HYPERLINK("https://otsuka-europe-crm.veevavault.com/ui/#object/sent_email__v/VBLZ025E82HGTXY", "SE-000286051")</f>
        <v>SE-000286051</v>
      </c>
      <c r="D267" s="2" t="str">
        <f>HYPERLINK("https://otsuka-europe-crm.veevavault.com/ui/#object/user__sys/27667898", "SANTIAGO SECO")</f>
        <v>SANTIAGO SECO</v>
      </c>
      <c r="E267" s="2" t="str">
        <f>HYPERLINK("https://otsuka-europe-crm.veevavault.com/ui/#object/account__v/V4TZ06G6OCENKZD", "DAMIAN EZEQUIEL MARTINES")</f>
        <v>DAMIAN EZEQUIEL MARTINES</v>
      </c>
      <c r="F267" s="4">
        <v>45939.714062500003</v>
      </c>
      <c r="G267" s="2" t="str">
        <f t="shared" si="38"/>
        <v>RXULTI - Presentación indicación adolescentes y dosis 0,5 mg</v>
      </c>
      <c r="H267" s="3" t="s">
        <v>32</v>
      </c>
      <c r="I267" s="2" t="str">
        <f t="shared" si="37"/>
        <v>Integration User</v>
      </c>
    </row>
    <row r="268" spans="1:9" x14ac:dyDescent="0.2">
      <c r="A268" s="2" t="str">
        <f>HYPERLINK("https://otsuka-europe-crm.veevavault.com/ui/#object/multichannel_activity__v/V9VZ025E8297KT1", "MCA-000026632")</f>
        <v>MCA-000026632</v>
      </c>
      <c r="B268" s="3" t="s">
        <v>9</v>
      </c>
      <c r="C268" s="2" t="str">
        <f>HYPERLINK("https://otsuka-europe-crm.veevavault.com/ui/#object/sent_email__v/VBLZ025E82HE2TS", "SE-000284621")</f>
        <v>SE-000284621</v>
      </c>
      <c r="D268" s="2" t="str">
        <f>HYPERLINK("https://otsuka-europe-crm.veevavault.com/ui/#object/user__sys/27667734", "MANUEL GRAVAN")</f>
        <v>MANUEL GRAVAN</v>
      </c>
      <c r="E268" s="2" t="str">
        <f>HYPERLINK("https://otsuka-europe-crm.veevavault.com/ui/#object/account__v/V4TZ06G6O71T9FU", "PEDRO FERNANDO CAMPO GUERRAS")</f>
        <v>PEDRO FERNANDO CAMPO GUERRAS</v>
      </c>
      <c r="F268" s="4">
        <v>45937.718831018516</v>
      </c>
      <c r="G268" s="2" t="str">
        <f t="shared" si="38"/>
        <v>RXULTI - Presentación indicación adolescentes y dosis 0,5 mg</v>
      </c>
      <c r="H268" s="3" t="s">
        <v>32</v>
      </c>
      <c r="I268" s="2" t="str">
        <f t="shared" si="37"/>
        <v>Integration User</v>
      </c>
    </row>
    <row r="269" spans="1:9" x14ac:dyDescent="0.2">
      <c r="A269" s="2" t="str">
        <f>HYPERLINK("https://otsuka-europe-crm.veevavault.com/ui/#object/multichannel_activity__v/V9VZ025E8297KVT", "MCA-000026633")</f>
        <v>MCA-000026633</v>
      </c>
      <c r="B269" s="3" t="s">
        <v>9</v>
      </c>
      <c r="C269" s="2" t="str">
        <f>HYPERLINK("https://otsuka-europe-crm.veevavault.com/ui/#object/sent_email__v/VBLZ025E82HE2TS", "SE-000284621")</f>
        <v>SE-000284621</v>
      </c>
      <c r="D269" s="2" t="str">
        <f>HYPERLINK("https://otsuka-europe-crm.veevavault.com/ui/#object/user__sys/27667734", "MANUEL GRAVAN")</f>
        <v>MANUEL GRAVAN</v>
      </c>
      <c r="E269" s="2" t="str">
        <f>HYPERLINK("https://otsuka-europe-crm.veevavault.com/ui/#object/account__v/V4TZ06G6O71T9FU", "PEDRO FERNANDO CAMPO GUERRAS")</f>
        <v>PEDRO FERNANDO CAMPO GUERRAS</v>
      </c>
      <c r="F269" s="4">
        <v>45937.718831018516</v>
      </c>
      <c r="G269" s="2" t="str">
        <f t="shared" si="38"/>
        <v>RXULTI - Presentación indicación adolescentes y dosis 0,5 mg</v>
      </c>
      <c r="H269" s="3" t="s">
        <v>32</v>
      </c>
      <c r="I269" s="2" t="str">
        <f t="shared" si="37"/>
        <v>Integration User</v>
      </c>
    </row>
    <row r="270" spans="1:9" x14ac:dyDescent="0.2">
      <c r="A270" s="2" t="str">
        <f>HYPERLINK("https://otsuka-europe-crm.veevavault.com/ui/#object/multichannel_activity__v/V9VZ025E8297MT9", "MCA-000026641")</f>
        <v>MCA-000026641</v>
      </c>
      <c r="B270" s="3" t="s">
        <v>13</v>
      </c>
      <c r="C270" s="2" t="str">
        <f>HYPERLINK("https://otsuka-europe-crm.veevavault.com/ui/#object/sent_email__v/VBLZ025E82HGMDS", "SE-000285726")</f>
        <v>SE-000285726</v>
      </c>
      <c r="D270" s="2" t="str">
        <f>HYPERLINK("https://otsuka-europe-crm.veevavault.com/ui/#object/user__sys/27667742", "ISABEL ORTEGA")</f>
        <v>ISABEL ORTEGA</v>
      </c>
      <c r="E270" s="2" t="str">
        <f>HYPERLINK("https://otsuka-europe-crm.veevavault.com/ui/#object/account__v/V4TZ06G6O71TBPP", "JUAN CARLOS PASCUAL MATEOS")</f>
        <v>JUAN CARLOS PASCUAL MATEOS</v>
      </c>
      <c r="F270" s="4">
        <v>45939.649976851855</v>
      </c>
      <c r="G270" s="2" t="str">
        <f t="shared" si="38"/>
        <v>RXULTI - Presentación indicación adolescentes y dosis 0,5 mg</v>
      </c>
      <c r="H270" s="3" t="s">
        <v>32</v>
      </c>
      <c r="I270" s="2" t="str">
        <f t="shared" si="37"/>
        <v>Integration User</v>
      </c>
    </row>
    <row r="271" spans="1:9" x14ac:dyDescent="0.2">
      <c r="A271" s="2" t="str">
        <f>HYPERLINK("https://otsuka-europe-crm.veevavault.com/ui/#object/multichannel_activity__v/V9VZ025E8297MW1", "MCA-000026642")</f>
        <v>MCA-000026642</v>
      </c>
      <c r="B271" s="3" t="s">
        <v>13</v>
      </c>
      <c r="C271" s="2" t="str">
        <f>HYPERLINK("https://otsuka-europe-crm.veevavault.com/ui/#object/sent_email__v/VBLZ025E82HGMDS", "SE-000285726")</f>
        <v>SE-000285726</v>
      </c>
      <c r="D271" s="2" t="str">
        <f>HYPERLINK("https://otsuka-europe-crm.veevavault.com/ui/#object/user__sys/27667742", "ISABEL ORTEGA")</f>
        <v>ISABEL ORTEGA</v>
      </c>
      <c r="E271" s="2" t="str">
        <f>HYPERLINK("https://otsuka-europe-crm.veevavault.com/ui/#object/account__v/V4TZ06G6O71TBPP", "JUAN CARLOS PASCUAL MATEOS")</f>
        <v>JUAN CARLOS PASCUAL MATEOS</v>
      </c>
      <c r="F271" s="4">
        <v>45939.649976851855</v>
      </c>
      <c r="G271" s="2" t="str">
        <f t="shared" si="38"/>
        <v>RXULTI - Presentación indicación adolescentes y dosis 0,5 mg</v>
      </c>
      <c r="H271" s="3" t="s">
        <v>32</v>
      </c>
      <c r="I271" s="2" t="str">
        <f t="shared" si="37"/>
        <v>Integration User</v>
      </c>
    </row>
    <row r="272" spans="1:9" x14ac:dyDescent="0.2">
      <c r="A272" s="2" t="str">
        <f>HYPERLINK("https://otsuka-europe-crm.veevavault.com/ui/#object/multichannel_activity__v/V9VZ025E8297MYT", "MCA-000026643")</f>
        <v>MCA-000026643</v>
      </c>
      <c r="B272" s="3" t="s">
        <v>13</v>
      </c>
      <c r="C272" s="2" t="str">
        <f>HYPERLINK("https://otsuka-europe-crm.veevavault.com/ui/#object/sent_email__v/VBLZ025E82HGMDS", "SE-000285726")</f>
        <v>SE-000285726</v>
      </c>
      <c r="D272" s="2" t="str">
        <f>HYPERLINK("https://otsuka-europe-crm.veevavault.com/ui/#object/user__sys/27667742", "ISABEL ORTEGA")</f>
        <v>ISABEL ORTEGA</v>
      </c>
      <c r="E272" s="2" t="str">
        <f>HYPERLINK("https://otsuka-europe-crm.veevavault.com/ui/#object/account__v/V4TZ06G6O71TBPP", "JUAN CARLOS PASCUAL MATEOS")</f>
        <v>JUAN CARLOS PASCUAL MATEOS</v>
      </c>
      <c r="F272" s="4">
        <v>45939.649976851855</v>
      </c>
      <c r="G272" s="2" t="str">
        <f t="shared" si="38"/>
        <v>RXULTI - Presentación indicación adolescentes y dosis 0,5 mg</v>
      </c>
      <c r="H272" s="3" t="s">
        <v>32</v>
      </c>
      <c r="I272" s="2" t="str">
        <f t="shared" si="37"/>
        <v>Integration User</v>
      </c>
    </row>
    <row r="273" spans="1:9" x14ac:dyDescent="0.2">
      <c r="A273" s="2" t="str">
        <f>HYPERLINK("https://otsuka-europe-crm.veevavault.com/ui/#object/multichannel_activity__v/V9VZ025E8297NCP", "MCA-000026644")</f>
        <v>MCA-000026644</v>
      </c>
      <c r="B273" s="3" t="s">
        <v>9</v>
      </c>
      <c r="C273" s="2" t="str">
        <f>HYPERLINK("https://otsuka-europe-crm.veevavault.com/ui/#object/sent_email__v/VBLZ025E82HFY0V", "SE-000285134")</f>
        <v>SE-000285134</v>
      </c>
      <c r="D273" s="2" t="str">
        <f>HYPERLINK("https://otsuka-europe-crm.veevavault.com/ui/#object/user__sys/27667724", "JOSE MARIA COSTA")</f>
        <v>JOSE MARIA COSTA</v>
      </c>
      <c r="E273" s="2" t="str">
        <f>HYPERLINK("https://otsuka-europe-crm.veevavault.com/ui/#object/account__v/V4TZ06G6O71T9U5", "FRANCISCO JOSE DOCE FELIZ")</f>
        <v>FRANCISCO JOSE DOCE FELIZ</v>
      </c>
      <c r="F273" s="4">
        <v>45940.335613425923</v>
      </c>
      <c r="G273" s="2" t="str">
        <f t="shared" si="38"/>
        <v>RXULTI - Presentación indicación adolescentes y dosis 0,5 mg</v>
      </c>
      <c r="H273" s="3" t="s">
        <v>32</v>
      </c>
      <c r="I273" s="2" t="str">
        <f t="shared" si="37"/>
        <v>Integration User</v>
      </c>
    </row>
    <row r="274" spans="1:9" x14ac:dyDescent="0.2">
      <c r="A274" s="2" t="str">
        <f>HYPERLINK("https://otsuka-europe-crm.veevavault.com/ui/#object/multichannel_activity__v/V9VZ025E8297NFH", "MCA-000026645")</f>
        <v>MCA-000026645</v>
      </c>
      <c r="B274" s="3" t="s">
        <v>9</v>
      </c>
      <c r="C274" s="2" t="str">
        <f>HYPERLINK("https://otsuka-europe-crm.veevavault.com/ui/#object/sent_email__v/VBLZ025E82HFY0V", "SE-000285134")</f>
        <v>SE-000285134</v>
      </c>
      <c r="D274" s="2" t="str">
        <f>HYPERLINK("https://otsuka-europe-crm.veevavault.com/ui/#object/user__sys/27667724", "JOSE MARIA COSTA")</f>
        <v>JOSE MARIA COSTA</v>
      </c>
      <c r="E274" s="2" t="str">
        <f>HYPERLINK("https://otsuka-europe-crm.veevavault.com/ui/#object/account__v/V4TZ06G6O71T9U5", "FRANCISCO JOSE DOCE FELIZ")</f>
        <v>FRANCISCO JOSE DOCE FELIZ</v>
      </c>
      <c r="F274" s="4">
        <v>45940.335613425923</v>
      </c>
      <c r="G274" s="2" t="str">
        <f t="shared" si="38"/>
        <v>RXULTI - Presentación indicación adolescentes y dosis 0,5 mg</v>
      </c>
      <c r="H274" s="3" t="s">
        <v>32</v>
      </c>
      <c r="I274" s="2" t="str">
        <f t="shared" si="37"/>
        <v>Integration User</v>
      </c>
    </row>
    <row r="275" spans="1:9" x14ac:dyDescent="0.2">
      <c r="A275" s="2" t="str">
        <f>HYPERLINK("https://otsuka-europe-crm.veevavault.com/ui/#object/multichannel_activity__v/V9VZ025E8297XM5", "MCA-000026678")</f>
        <v>MCA-000026678</v>
      </c>
      <c r="B275" s="3" t="s">
        <v>9</v>
      </c>
      <c r="C275" s="2" t="str">
        <f>HYPERLINK("https://otsuka-europe-crm.veevavault.com/ui/#object/sent_email__v/VBLZ025E82HJLI1", "SE-000286869")</f>
        <v>SE-000286869</v>
      </c>
      <c r="D275" s="2" t="str">
        <f>HYPERLINK("https://otsuka-europe-crm.veevavault.com/ui/#object/user__sys/27667800", "Gianpaolo Fichera")</f>
        <v>Gianpaolo Fichera</v>
      </c>
      <c r="E275" s="2" t="str">
        <f>HYPERLINK("https://otsuka-europe-crm.veevavault.com/ui/#object/account__v/V4TZ025E87AW7JI", "VITTORIO VARBELLA")</f>
        <v>VITTORIO VARBELLA</v>
      </c>
      <c r="F275" s="4">
        <v>45944.36550925926</v>
      </c>
      <c r="G275" s="2" t="str">
        <f>HYPERLINK("https://otsuka-europe-crm.veevavault.com/ui/#object/approved_document__v/V5OZ025E82TTJZT", "OTSUKA_ABILIFY 960/720_AE  -  IT-AM-2500012")</f>
        <v>OTSUKA_ABILIFY 960/720_AE  -  IT-AM-2500012</v>
      </c>
      <c r="H275" s="3" t="s">
        <v>30</v>
      </c>
      <c r="I275" s="2" t="str">
        <f t="shared" si="37"/>
        <v>Integration User</v>
      </c>
    </row>
    <row r="276" spans="1:9" x14ac:dyDescent="0.2">
      <c r="A276" s="2" t="str">
        <f>HYPERLINK("https://otsuka-europe-crm.veevavault.com/ui/#object/multichannel_activity__v/V9VZ025E8297XOX", "MCA-000026679")</f>
        <v>MCA-000026679</v>
      </c>
      <c r="B276" s="3" t="s">
        <v>9</v>
      </c>
      <c r="C276" s="2" t="str">
        <f>HYPERLINK("https://otsuka-europe-crm.veevavault.com/ui/#object/sent_email__v/VBLZ025E82HJLI1", "SE-000286869")</f>
        <v>SE-000286869</v>
      </c>
      <c r="D276" s="2" t="str">
        <f>HYPERLINK("https://otsuka-europe-crm.veevavault.com/ui/#object/user__sys/27667800", "Gianpaolo Fichera")</f>
        <v>Gianpaolo Fichera</v>
      </c>
      <c r="E276" s="2" t="str">
        <f>HYPERLINK("https://otsuka-europe-crm.veevavault.com/ui/#object/account__v/V4TZ025E87AW7JI", "VITTORIO VARBELLA")</f>
        <v>VITTORIO VARBELLA</v>
      </c>
      <c r="F276" s="4">
        <v>45944.36550925926</v>
      </c>
      <c r="G276" s="2" t="str">
        <f>HYPERLINK("https://otsuka-europe-crm.veevavault.com/ui/#object/approved_document__v/V5OZ025E82TTJZT", "OTSUKA_ABILIFY 960/720_AE  -  IT-AM-2500012")</f>
        <v>OTSUKA_ABILIFY 960/720_AE  -  IT-AM-2500012</v>
      </c>
      <c r="H276" s="3" t="s">
        <v>30</v>
      </c>
      <c r="I276" s="2" t="str">
        <f t="shared" si="37"/>
        <v>Integration User</v>
      </c>
    </row>
    <row r="277" spans="1:9" x14ac:dyDescent="0.2">
      <c r="A277" s="2" t="str">
        <f>HYPERLINK("https://otsuka-europe-crm.veevavault.com/ui/#object/multichannel_activity__v/V9VZ025E8298PBD", "MCA-000026792")</f>
        <v>MCA-000026792</v>
      </c>
      <c r="B277" s="3" t="s">
        <v>13</v>
      </c>
      <c r="C277" s="2" t="str">
        <f t="shared" ref="C277:C282" si="39">HYPERLINK("https://otsuka-europe-crm.veevavault.com/ui/#object/sent_email__v/VBLZ025E82HNN6H", "SE-000288012")</f>
        <v>SE-000288012</v>
      </c>
      <c r="D277" s="2" t="str">
        <f t="shared" ref="D277:D282" si="40">HYPERLINK("https://otsuka-europe-crm.veevavault.com/ui/#object/user__sys/27667726", "FERMIN DIAZ")</f>
        <v>FERMIN DIAZ</v>
      </c>
      <c r="E277" s="2" t="str">
        <f t="shared" ref="E277:E282" si="41">HYPERLINK("https://otsuka-europe-crm.veevavault.com/ui/#object/account__v/V4TZ025E899J1TL", "ANDRES SUAREZ VELAZQUEZ")</f>
        <v>ANDRES SUAREZ VELAZQUEZ</v>
      </c>
      <c r="F277" s="4">
        <v>45947.537418981483</v>
      </c>
      <c r="G277" s="2" t="str">
        <f t="shared" ref="G277:G282" si="42">HYPERLINK("https://otsuka-europe-crm.veevavault.com/ui/#object/approved_document__v/V5OZ025E82UF0DE", "RXULTI - Presentación indicación adolescentes y dosis 0,5 mg")</f>
        <v>RXULTI - Presentación indicación adolescentes y dosis 0,5 mg</v>
      </c>
      <c r="H277" s="3" t="s">
        <v>32</v>
      </c>
      <c r="I277" s="2" t="str">
        <f t="shared" si="37"/>
        <v>Integration User</v>
      </c>
    </row>
    <row r="278" spans="1:9" x14ac:dyDescent="0.2">
      <c r="A278" s="2" t="str">
        <f>HYPERLINK("https://otsuka-europe-crm.veevavault.com/ui/#object/multichannel_activity__v/V9VZ025E8298PE5", "MCA-000026793")</f>
        <v>MCA-000026793</v>
      </c>
      <c r="B278" s="3" t="s">
        <v>9</v>
      </c>
      <c r="C278" s="2" t="str">
        <f t="shared" si="39"/>
        <v>SE-000288012</v>
      </c>
      <c r="D278" s="2" t="str">
        <f t="shared" si="40"/>
        <v>FERMIN DIAZ</v>
      </c>
      <c r="E278" s="2" t="str">
        <f t="shared" si="41"/>
        <v>ANDRES SUAREZ VELAZQUEZ</v>
      </c>
      <c r="F278" s="4">
        <v>45947.537418981483</v>
      </c>
      <c r="G278" s="2" t="str">
        <f t="shared" si="42"/>
        <v>RXULTI - Presentación indicación adolescentes y dosis 0,5 mg</v>
      </c>
      <c r="H278" s="3" t="s">
        <v>32</v>
      </c>
      <c r="I278" s="2" t="str">
        <f t="shared" si="37"/>
        <v>Integration User</v>
      </c>
    </row>
    <row r="279" spans="1:9" x14ac:dyDescent="0.2">
      <c r="A279" s="2" t="str">
        <f>HYPERLINK("https://otsuka-europe-crm.veevavault.com/ui/#object/multichannel_activity__v/V9VZ025E8298PGX", "MCA-000026794")</f>
        <v>MCA-000026794</v>
      </c>
      <c r="B279" s="3" t="s">
        <v>9</v>
      </c>
      <c r="C279" s="2" t="str">
        <f t="shared" si="39"/>
        <v>SE-000288012</v>
      </c>
      <c r="D279" s="2" t="str">
        <f t="shared" si="40"/>
        <v>FERMIN DIAZ</v>
      </c>
      <c r="E279" s="2" t="str">
        <f t="shared" si="41"/>
        <v>ANDRES SUAREZ VELAZQUEZ</v>
      </c>
      <c r="F279" s="4">
        <v>45947.537418981483</v>
      </c>
      <c r="G279" s="2" t="str">
        <f t="shared" si="42"/>
        <v>RXULTI - Presentación indicación adolescentes y dosis 0,5 mg</v>
      </c>
      <c r="H279" s="3" t="s">
        <v>32</v>
      </c>
      <c r="I279" s="2" t="str">
        <f t="shared" si="37"/>
        <v>Integration User</v>
      </c>
    </row>
    <row r="280" spans="1:9" x14ac:dyDescent="0.2">
      <c r="A280" s="2" t="str">
        <f>HYPERLINK("https://otsuka-europe-crm.veevavault.com/ui/#object/multichannel_activity__v/V9VZ025E8298PJP", "MCA-000026795")</f>
        <v>MCA-000026795</v>
      </c>
      <c r="B280" s="3" t="s">
        <v>9</v>
      </c>
      <c r="C280" s="2" t="str">
        <f t="shared" si="39"/>
        <v>SE-000288012</v>
      </c>
      <c r="D280" s="2" t="str">
        <f t="shared" si="40"/>
        <v>FERMIN DIAZ</v>
      </c>
      <c r="E280" s="2" t="str">
        <f t="shared" si="41"/>
        <v>ANDRES SUAREZ VELAZQUEZ</v>
      </c>
      <c r="F280" s="4">
        <v>45947.537418981483</v>
      </c>
      <c r="G280" s="2" t="str">
        <f t="shared" si="42"/>
        <v>RXULTI - Presentación indicación adolescentes y dosis 0,5 mg</v>
      </c>
      <c r="H280" s="3" t="s">
        <v>32</v>
      </c>
      <c r="I280" s="2" t="str">
        <f t="shared" si="37"/>
        <v>Integration User</v>
      </c>
    </row>
    <row r="281" spans="1:9" x14ac:dyDescent="0.2">
      <c r="A281" s="2" t="str">
        <f>HYPERLINK("https://otsuka-europe-crm.veevavault.com/ui/#object/multichannel_activity__v/V9VZ025E8298PMH", "MCA-000026796")</f>
        <v>MCA-000026796</v>
      </c>
      <c r="B281" s="3" t="s">
        <v>13</v>
      </c>
      <c r="C281" s="2" t="str">
        <f t="shared" si="39"/>
        <v>SE-000288012</v>
      </c>
      <c r="D281" s="2" t="str">
        <f t="shared" si="40"/>
        <v>FERMIN DIAZ</v>
      </c>
      <c r="E281" s="2" t="str">
        <f t="shared" si="41"/>
        <v>ANDRES SUAREZ VELAZQUEZ</v>
      </c>
      <c r="F281" s="4">
        <v>45947.537418981483</v>
      </c>
      <c r="G281" s="2" t="str">
        <f t="shared" si="42"/>
        <v>RXULTI - Presentación indicación adolescentes y dosis 0,5 mg</v>
      </c>
      <c r="H281" s="3" t="s">
        <v>32</v>
      </c>
      <c r="I281" s="2" t="str">
        <f t="shared" si="37"/>
        <v>Integration User</v>
      </c>
    </row>
    <row r="282" spans="1:9" x14ac:dyDescent="0.2">
      <c r="A282" s="2" t="str">
        <f>HYPERLINK("https://otsuka-europe-crm.veevavault.com/ui/#object/multichannel_activity__v/V9VZ025E8298PP9", "MCA-000026797")</f>
        <v>MCA-000026797</v>
      </c>
      <c r="B282" s="3" t="s">
        <v>13</v>
      </c>
      <c r="C282" s="2" t="str">
        <f t="shared" si="39"/>
        <v>SE-000288012</v>
      </c>
      <c r="D282" s="2" t="str">
        <f t="shared" si="40"/>
        <v>FERMIN DIAZ</v>
      </c>
      <c r="E282" s="2" t="str">
        <f t="shared" si="41"/>
        <v>ANDRES SUAREZ VELAZQUEZ</v>
      </c>
      <c r="F282" s="4">
        <v>45947.537418981483</v>
      </c>
      <c r="G282" s="2" t="str">
        <f t="shared" si="42"/>
        <v>RXULTI - Presentación indicación adolescentes y dosis 0,5 mg</v>
      </c>
      <c r="H282" s="3" t="s">
        <v>32</v>
      </c>
      <c r="I282" s="2" t="str">
        <f t="shared" si="37"/>
        <v>Integration User</v>
      </c>
    </row>
    <row r="283" spans="1:9" x14ac:dyDescent="0.2">
      <c r="A283" s="2" t="str">
        <f>HYPERLINK("https://otsuka-europe-crm.veevavault.com/ui/#object/multichannel_activity__v/V9VZ025E82995R1", "MCA-000026827")</f>
        <v>MCA-000026827</v>
      </c>
      <c r="B283" s="3" t="s">
        <v>13</v>
      </c>
      <c r="C283" s="2" t="str">
        <f>HYPERLINK("https://otsuka-europe-crm.veevavault.com/ui/#object/sent_email__v/VBLZ025E82HPAO5", "SE-000288568")</f>
        <v>SE-000288568</v>
      </c>
      <c r="D283" s="2" t="str">
        <f>HYPERLINK("https://otsuka-europe-crm.veevavault.com/ui/#object/user__sys/27667848", "Sabine Kiefer")</f>
        <v>Sabine Kiefer</v>
      </c>
      <c r="E283" s="2" t="str">
        <f>HYPERLINK("https://otsuka-europe-crm.veevavault.com/ui/#object/account__v/V4TZ025E87CXEEZ", "Christian Michel")</f>
        <v>Christian Michel</v>
      </c>
      <c r="F283" s="4">
        <v>45950.601550925923</v>
      </c>
      <c r="G283" s="2" t="str">
        <f>HYPERLINK("https://otsuka-europe-crm.veevavault.com/ui/#object/approved_document__v/V5OZ025E82U3BUI", "INA VAE DE - Einladung DGHO 2025")</f>
        <v>INA VAE DE - Einladung DGHO 2025</v>
      </c>
      <c r="H283" s="3" t="s">
        <v>31</v>
      </c>
      <c r="I283" s="2" t="str">
        <f t="shared" si="37"/>
        <v>Integration User</v>
      </c>
    </row>
    <row r="284" spans="1:9" x14ac:dyDescent="0.2">
      <c r="A284" s="2" t="str">
        <f>HYPERLINK("https://otsuka-europe-crm.veevavault.com/ui/#object/multichannel_activity__v/V9VZ025E82997R9", "MCA-000026832")</f>
        <v>MCA-000026832</v>
      </c>
      <c r="B284" s="3" t="s">
        <v>9</v>
      </c>
      <c r="C284" s="2" t="str">
        <f>HYPERLINK("https://otsuka-europe-crm.veevavault.com/ui/#object/sent_email__v/VBLZ025E82HOPG9", "SE-000288463")</f>
        <v>SE-000288463</v>
      </c>
      <c r="D284" s="2" t="str">
        <f>HYPERLINK("https://otsuka-europe-crm.veevavault.com/ui/#object/user__sys/27667812", "Sandro Vitto")</f>
        <v>Sandro Vitto</v>
      </c>
      <c r="E284" s="2" t="str">
        <f>HYPERLINK("https://otsuka-europe-crm.veevavault.com/ui/#object/account__v/V4TZ04ASGC2CR5Y", "FLORA BRUDAGLIO")</f>
        <v>FLORA BRUDAGLIO</v>
      </c>
      <c r="F284" s="4">
        <v>45950.422777777778</v>
      </c>
      <c r="G284" s="2" t="str">
        <f>HYPERLINK("https://otsuka-europe-crm.veevavault.com/ui/#object/approved_document__v/V5OZ025E82T9SYM", "ABILIFY 960/720_Branded_AE Burden_IT-AM2-2500124")</f>
        <v>ABILIFY 960/720_Branded_AE Burden_IT-AM2-2500124</v>
      </c>
      <c r="H284" s="3" t="s">
        <v>33</v>
      </c>
      <c r="I284" s="2" t="str">
        <f t="shared" si="37"/>
        <v>Integration User</v>
      </c>
    </row>
    <row r="285" spans="1:9" x14ac:dyDescent="0.2">
      <c r="A285" s="2" t="str">
        <f>HYPERLINK("https://otsuka-europe-crm.veevavault.com/ui/#object/multichannel_activity__v/V9VZ025E82997U1", "MCA-000026833")</f>
        <v>MCA-000026833</v>
      </c>
      <c r="B285" s="3" t="s">
        <v>9</v>
      </c>
      <c r="C285" s="2" t="str">
        <f>HYPERLINK("https://otsuka-europe-crm.veevavault.com/ui/#object/sent_email__v/VBLZ025E82HOPLT", "SE-000288465")</f>
        <v>SE-000288465</v>
      </c>
      <c r="D285" s="2" t="str">
        <f>HYPERLINK("https://otsuka-europe-crm.veevavault.com/ui/#object/user__sys/27667812", "Sandro Vitto")</f>
        <v>Sandro Vitto</v>
      </c>
      <c r="E285" s="2" t="str">
        <f>HYPERLINK("https://otsuka-europe-crm.veevavault.com/ui/#object/account__v/V4TZ04ASGC2CR5Y", "FLORA BRUDAGLIO")</f>
        <v>FLORA BRUDAGLIO</v>
      </c>
      <c r="F285" s="4">
        <v>45950.422905092593</v>
      </c>
      <c r="G285" s="2" t="str">
        <f>HYPERLINK("https://otsuka-europe-crm.veevavault.com/ui/#object/approved_document__v/V5OZ025E82T9SYL", "OTSUKA_ABILIFY 960/720_Branded_AE lancio 960/720_IT-AM2-2500122")</f>
        <v>OTSUKA_ABILIFY 960/720_Branded_AE lancio 960/720_IT-AM2-2500122</v>
      </c>
      <c r="H285" s="3" t="s">
        <v>28</v>
      </c>
      <c r="I285" s="2" t="str">
        <f t="shared" si="37"/>
        <v>Integration User</v>
      </c>
    </row>
    <row r="286" spans="1:9" x14ac:dyDescent="0.2">
      <c r="A286" s="2" t="str">
        <f>HYPERLINK("https://otsuka-europe-crm.veevavault.com/ui/#object/multichannel_activity__v/V9VZ025E82997ZL", "MCA-000026834")</f>
        <v>MCA-000026834</v>
      </c>
      <c r="B286" s="3" t="s">
        <v>9</v>
      </c>
      <c r="C286" s="2" t="str">
        <f>HYPERLINK("https://otsuka-europe-crm.veevavault.com/ui/#object/sent_email__v/VBLZ025E82HPQT7", "SE-000288824")</f>
        <v>SE-000288824</v>
      </c>
      <c r="D286" s="2" t="str">
        <f>HYPERLINK("https://otsuka-europe-crm.veevavault.com/ui/#object/user__sys/27667722", "JESUS CASTRO")</f>
        <v>JESUS CASTRO</v>
      </c>
      <c r="E286" s="2" t="str">
        <f>HYPERLINK("https://otsuka-europe-crm.veevavault.com/ui/#object/account__v/V4TZ025E86IIJJR", "IGNACIO RAMOS SUAREZ")</f>
        <v>IGNACIO RAMOS SUAREZ</v>
      </c>
      <c r="F286" s="4">
        <v>45950.875474537039</v>
      </c>
      <c r="G286" s="2" t="str">
        <f>HYPERLINK("https://otsuka-europe-crm.veevavault.com/ui/#object/approved_document__v/V5OZ025E82UF0DE", "RXULTI - Presentación indicación adolescentes y dosis 0,5 mg")</f>
        <v>RXULTI - Presentación indicación adolescentes y dosis 0,5 mg</v>
      </c>
      <c r="H286" s="3" t="s">
        <v>32</v>
      </c>
      <c r="I286" s="2" t="str">
        <f t="shared" si="37"/>
        <v>Integration User</v>
      </c>
    </row>
    <row r="287" spans="1:9" x14ac:dyDescent="0.2">
      <c r="A287" s="2" t="str">
        <f>HYPERLINK("https://otsuka-europe-crm.veevavault.com/ui/#object/multichannel_activity__v/V9VZ025E829982D", "MCA-000026835")</f>
        <v>MCA-000026835</v>
      </c>
      <c r="B287" s="3" t="s">
        <v>9</v>
      </c>
      <c r="C287" s="2" t="str">
        <f>HYPERLINK("https://otsuka-europe-crm.veevavault.com/ui/#object/sent_email__v/VBLZ025E82HPQRC", "SE-000288771")</f>
        <v>SE-000288771</v>
      </c>
      <c r="D287" s="2" t="str">
        <f>HYPERLINK("https://otsuka-europe-crm.veevavault.com/ui/#object/user__sys/27667722", "JESUS CASTRO")</f>
        <v>JESUS CASTRO</v>
      </c>
      <c r="E287" s="2" t="str">
        <f>HYPERLINK("https://otsuka-europe-crm.veevavault.com/ui/#object/account__v/V4TZ025E83AOP66", "PEDRO ALVAREZ CAMARERO")</f>
        <v>PEDRO ALVAREZ CAMARERO</v>
      </c>
      <c r="F287" s="4">
        <v>45950.87431712963</v>
      </c>
      <c r="G287" s="2" t="str">
        <f>HYPERLINK("https://otsuka-europe-crm.veevavault.com/ui/#object/approved_document__v/V5OZ025E82UF0DE", "RXULTI - Presentación indicación adolescentes y dosis 0,5 mg")</f>
        <v>RXULTI - Presentación indicación adolescentes y dosis 0,5 mg</v>
      </c>
      <c r="H287" s="3" t="s">
        <v>32</v>
      </c>
      <c r="I287" s="2" t="str">
        <f t="shared" si="37"/>
        <v>Integration User</v>
      </c>
    </row>
    <row r="288" spans="1:9" x14ac:dyDescent="0.2">
      <c r="A288" s="2" t="str">
        <f>HYPERLINK("https://otsuka-europe-crm.veevavault.com/ui/#object/multichannel_activity__v/V9VZ025E8299R4H", "MCA-000026890")</f>
        <v>MCA-000026890</v>
      </c>
      <c r="B288" s="3" t="s">
        <v>9</v>
      </c>
      <c r="C288" s="2" t="str">
        <f>HYPERLINK("https://otsuka-europe-crm.veevavault.com/ui/#object/sent_email__v/VBLZ025E82HRFLL", "SE-000290078")</f>
        <v>SE-000290078</v>
      </c>
      <c r="D288" s="2" t="str">
        <f>HYPERLINK("https://otsuka-europe-crm.veevavault.com/ui/#object/user__sys/23350261", "Martina Sala Pallares")</f>
        <v>Martina Sala Pallares</v>
      </c>
      <c r="E288" s="2" t="str">
        <f>HYPERLINK("https://otsuka-europe-crm.veevavault.com/ui/#object/account__v/V4TZ06G6OA5WQFG", "TEST OPSA HCP TEST OPSA HCP")</f>
        <v>TEST OPSA HCP TEST OPSA HCP</v>
      </c>
      <c r="F288" s="4">
        <v>45952.567083333335</v>
      </c>
      <c r="G288" s="2" t="str">
        <f>HYPERLINK("https://otsuka-europe-crm.veevavault.com/ui/#object/approved_document__v/V5OZ025E82UXXXH", "AM2M - PSIQUIATRÍA - Eficacia desde el primer día (Fagiolini)")</f>
        <v>AM2M - PSIQUIATRÍA - Eficacia desde el primer día (Fagiolini)</v>
      </c>
      <c r="H288" s="3" t="s">
        <v>34</v>
      </c>
      <c r="I288" s="2" t="str">
        <f t="shared" si="37"/>
        <v>Integration User</v>
      </c>
    </row>
    <row r="289" spans="1:9" x14ac:dyDescent="0.2">
      <c r="A289" s="2" t="str">
        <f>HYPERLINK("https://otsuka-europe-crm.veevavault.com/ui/#object/multichannel_activity__v/V9V000000002007", "MCA-000135008")</f>
        <v>MCA-000135008</v>
      </c>
      <c r="B289" s="3" t="s">
        <v>9</v>
      </c>
      <c r="C289" s="2" t="str">
        <f>HYPERLINK("https://otsuka-europe-crm.veevavault.com/ui/#object/sent_email__v/VBL000000002157", "SE-001378739")</f>
        <v>SE-001378739</v>
      </c>
      <c r="D289" s="2" t="str">
        <f>HYPERLINK("https://otsuka-europe-crm.veevavault.com/ui/#object/user__sys/27667754", "CESAR VILA")</f>
        <v>CESAR VILA</v>
      </c>
      <c r="E289" s="2" t="str">
        <f>HYPERLINK("https://otsuka-europe-crm.veevavault.com/ui/#object/account__v/V4TZ06G6O71T7Z7", "MARIA PALOMO MONGE")</f>
        <v>MARIA PALOMO MONGE</v>
      </c>
      <c r="F289" s="4">
        <v>45957.743194444447</v>
      </c>
      <c r="G289" s="2" t="str">
        <f t="shared" ref="G289:G294" si="43">HYPERLINK("https://otsuka-europe-crm.veevavault.com/ui/#object/approved_document__v/V5OZ025E82UF0DE", "RXULTI - Presentación indicación adolescentes y dosis 0,5 mg")</f>
        <v>RXULTI - Presentación indicación adolescentes y dosis 0,5 mg</v>
      </c>
      <c r="H289" s="3" t="s">
        <v>32</v>
      </c>
      <c r="I289" s="2" t="str">
        <f t="shared" ref="I289:I320" si="44">HYPERLINK("https://otsuka-europe-crm.veevavault.com/ui/#object/user__sys/27998896", "CRM Integration")</f>
        <v>CRM Integration</v>
      </c>
    </row>
    <row r="290" spans="1:9" x14ac:dyDescent="0.2">
      <c r="A290" s="2" t="str">
        <f>HYPERLINK("https://otsuka-europe-crm.veevavault.com/ui/#object/multichannel_activity__v/V9V000000002008", "MCA-000135009")</f>
        <v>MCA-000135009</v>
      </c>
      <c r="B290" s="3" t="s">
        <v>9</v>
      </c>
      <c r="C290" s="2" t="str">
        <f>HYPERLINK("https://otsuka-europe-crm.veevavault.com/ui/#object/sent_email__v/VBL000000001091", "SE-001377776")</f>
        <v>SE-001377776</v>
      </c>
      <c r="D290" s="2" t="str">
        <f>HYPERLINK("https://otsuka-europe-crm.veevavault.com/ui/#object/user__sys/27667746", "SEGUNDO RUIZ")</f>
        <v>SEGUNDO RUIZ</v>
      </c>
      <c r="E290" s="2" t="str">
        <f>HYPERLINK("https://otsuka-europe-crm.veevavault.com/ui/#object/account__v/V4TZ06G6O71UQZI", "ANTONIO REYES TABOADA")</f>
        <v>ANTONIO REYES TABOADA</v>
      </c>
      <c r="F290" s="4">
        <v>45957.502476851849</v>
      </c>
      <c r="G290" s="2" t="str">
        <f t="shared" si="43"/>
        <v>RXULTI - Presentación indicación adolescentes y dosis 0,5 mg</v>
      </c>
      <c r="H290" s="3" t="s">
        <v>32</v>
      </c>
      <c r="I290" s="2" t="str">
        <f t="shared" si="44"/>
        <v>CRM Integration</v>
      </c>
    </row>
    <row r="291" spans="1:9" x14ac:dyDescent="0.2">
      <c r="A291" s="2" t="str">
        <f>HYPERLINK("https://otsuka-europe-crm.veevavault.com/ui/#object/multichannel_activity__v/V9V000000004002", "MCA-000135065")</f>
        <v>MCA-000135065</v>
      </c>
      <c r="B291" s="3" t="s">
        <v>9</v>
      </c>
      <c r="C291" s="2" t="str">
        <f>HYPERLINK("https://otsuka-europe-crm.veevavault.com/ui/#object/sent_email__v/VBL000000004089", "SE-001380160")</f>
        <v>SE-001380160</v>
      </c>
      <c r="D291" s="2" t="str">
        <f>HYPERLINK("https://otsuka-europe-crm.veevavault.com/ui/#object/user__sys/27667744", "ALBERT QUERALT")</f>
        <v>ALBERT QUERALT</v>
      </c>
      <c r="E291" s="2" t="str">
        <f>HYPERLINK("https://otsuka-europe-crm.veevavault.com/ui/#object/account__v/V4TZ025E87PAFHB", "BARBARA ESCUDERO TRICAS")</f>
        <v>BARBARA ESCUDERO TRICAS</v>
      </c>
      <c r="F291" s="4">
        <v>45961.486493055556</v>
      </c>
      <c r="G291" s="2" t="str">
        <f t="shared" si="43"/>
        <v>RXULTI - Presentación indicación adolescentes y dosis 0,5 mg</v>
      </c>
      <c r="H291" s="3" t="s">
        <v>32</v>
      </c>
      <c r="I291" s="2" t="str">
        <f t="shared" si="44"/>
        <v>CRM Integration</v>
      </c>
    </row>
    <row r="292" spans="1:9" x14ac:dyDescent="0.2">
      <c r="A292" s="2" t="str">
        <f>HYPERLINK("https://otsuka-europe-crm.veevavault.com/ui/#object/multichannel_activity__v/V9V000000003003", "MCA-000135066")</f>
        <v>MCA-000135066</v>
      </c>
      <c r="B292" s="3" t="s">
        <v>13</v>
      </c>
      <c r="C292" s="2" t="str">
        <f>HYPERLINK("https://otsuka-europe-crm.veevavault.com/ui/#object/sent_email__v/VBL000000004089", "SE-001380160")</f>
        <v>SE-001380160</v>
      </c>
      <c r="D292" s="2" t="str">
        <f>HYPERLINK("https://otsuka-europe-crm.veevavault.com/ui/#object/user__sys/27667744", "ALBERT QUERALT")</f>
        <v>ALBERT QUERALT</v>
      </c>
      <c r="E292" s="2" t="str">
        <f>HYPERLINK("https://otsuka-europe-crm.veevavault.com/ui/#object/account__v/V4TZ025E87PAFHB", "BARBARA ESCUDERO TRICAS")</f>
        <v>BARBARA ESCUDERO TRICAS</v>
      </c>
      <c r="F292" s="4">
        <v>45961.486493055556</v>
      </c>
      <c r="G292" s="2" t="str">
        <f t="shared" si="43"/>
        <v>RXULTI - Presentación indicación adolescentes y dosis 0,5 mg</v>
      </c>
      <c r="H292" s="3" t="s">
        <v>32</v>
      </c>
      <c r="I292" s="2" t="str">
        <f t="shared" si="44"/>
        <v>CRM Integration</v>
      </c>
    </row>
    <row r="293" spans="1:9" x14ac:dyDescent="0.2">
      <c r="A293" s="2" t="str">
        <f>HYPERLINK("https://otsuka-europe-crm.veevavault.com/ui/#object/multichannel_activity__v/V9V000000004003", "MCA-000135067")</f>
        <v>MCA-000135067</v>
      </c>
      <c r="B293" s="3" t="s">
        <v>13</v>
      </c>
      <c r="C293" s="2" t="str">
        <f>HYPERLINK("https://otsuka-europe-crm.veevavault.com/ui/#object/sent_email__v/VBL000000004089", "SE-001380160")</f>
        <v>SE-001380160</v>
      </c>
      <c r="D293" s="2" t="str">
        <f>HYPERLINK("https://otsuka-europe-crm.veevavault.com/ui/#object/user__sys/27667744", "ALBERT QUERALT")</f>
        <v>ALBERT QUERALT</v>
      </c>
      <c r="E293" s="2" t="str">
        <f>HYPERLINK("https://otsuka-europe-crm.veevavault.com/ui/#object/account__v/V4TZ025E87PAFHB", "BARBARA ESCUDERO TRICAS")</f>
        <v>BARBARA ESCUDERO TRICAS</v>
      </c>
      <c r="F293" s="4">
        <v>45961.486493055556</v>
      </c>
      <c r="G293" s="2" t="str">
        <f t="shared" si="43"/>
        <v>RXULTI - Presentación indicación adolescentes y dosis 0,5 mg</v>
      </c>
      <c r="H293" s="3" t="s">
        <v>32</v>
      </c>
      <c r="I293" s="2" t="str">
        <f t="shared" si="44"/>
        <v>CRM Integration</v>
      </c>
    </row>
    <row r="294" spans="1:9" x14ac:dyDescent="0.2">
      <c r="A294" s="2" t="str">
        <f>HYPERLINK("https://otsuka-europe-crm.veevavault.com/ui/#object/multichannel_activity__v/V9V000000003004", "MCA-000135068")</f>
        <v>MCA-000135068</v>
      </c>
      <c r="B294" s="3" t="s">
        <v>9</v>
      </c>
      <c r="C294" s="2" t="str">
        <f>HYPERLINK("https://otsuka-europe-crm.veevavault.com/ui/#object/sent_email__v/VBL000000004089", "SE-001380160")</f>
        <v>SE-001380160</v>
      </c>
      <c r="D294" s="2" t="str">
        <f>HYPERLINK("https://otsuka-europe-crm.veevavault.com/ui/#object/user__sys/27667744", "ALBERT QUERALT")</f>
        <v>ALBERT QUERALT</v>
      </c>
      <c r="E294" s="2" t="str">
        <f>HYPERLINK("https://otsuka-europe-crm.veevavault.com/ui/#object/account__v/V4TZ025E87PAFHB", "BARBARA ESCUDERO TRICAS")</f>
        <v>BARBARA ESCUDERO TRICAS</v>
      </c>
      <c r="F294" s="4">
        <v>45961.486493055556</v>
      </c>
      <c r="G294" s="2" t="str">
        <f t="shared" si="43"/>
        <v>RXULTI - Presentación indicación adolescentes y dosis 0,5 mg</v>
      </c>
      <c r="H294" s="3" t="s">
        <v>32</v>
      </c>
      <c r="I294" s="2" t="str">
        <f t="shared" si="44"/>
        <v>CRM Integration</v>
      </c>
    </row>
    <row r="295" spans="1:9" x14ac:dyDescent="0.2">
      <c r="A295" s="2" t="str">
        <f>HYPERLINK("https://otsuka-europe-crm.veevavault.com/ui/#object/multichannel_activity__v/V9V000000003006", "MCA-000135076")</f>
        <v>MCA-000135076</v>
      </c>
      <c r="B295" s="3" t="s">
        <v>13</v>
      </c>
      <c r="C295" s="2" t="str">
        <f>HYPERLINK("https://otsuka-europe-crm.veevavault.com/ui/#object/sent_email__v/VBL000000005371", "SE-001380241")</f>
        <v>SE-001380241</v>
      </c>
      <c r="D295" s="2" t="str">
        <f t="shared" ref="D295:D300" si="45">HYPERLINK("https://otsuka-europe-crm.veevavault.com/ui/#object/user__sys/24058125", "Anna Schoggl")</f>
        <v>Anna Schoggl</v>
      </c>
      <c r="E295" s="2" t="str">
        <f t="shared" ref="E295:E300" si="46">HYPERLINK("https://otsuka-europe-crm.veevavault.com/ui/#object/account__v/V4TZ06G6OA5WQFG", "TEST OPSA HCP TEST OPSA HCP")</f>
        <v>TEST OPSA HCP TEST OPSA HCP</v>
      </c>
      <c r="F295" s="4">
        <v>45963.768854166665</v>
      </c>
      <c r="G295" s="2" t="str">
        <f>HYPERLINK("https://otsuka-europe-crm.veevavault.com/ui/#object/approved_document__v/V5O000000004002", "INA - Episodio 2 Videopodcast Nos Quedamos En Casa")</f>
        <v>INA - Episodio 2 Videopodcast Nos Quedamos En Casa</v>
      </c>
      <c r="H295" s="3" t="s">
        <v>35</v>
      </c>
      <c r="I295" s="2" t="str">
        <f t="shared" si="44"/>
        <v>CRM Integration</v>
      </c>
    </row>
    <row r="296" spans="1:9" x14ac:dyDescent="0.2">
      <c r="A296" s="2" t="str">
        <f>HYPERLINK("https://otsuka-europe-crm.veevavault.com/ui/#object/multichannel_activity__v/V9V000000004010", "MCA-000135077")</f>
        <v>MCA-000135077</v>
      </c>
      <c r="B296" s="3" t="s">
        <v>9</v>
      </c>
      <c r="C296" s="2" t="str">
        <f>HYPERLINK("https://otsuka-europe-crm.veevavault.com/ui/#object/sent_email__v/VBL000000005371", "SE-001380241")</f>
        <v>SE-001380241</v>
      </c>
      <c r="D296" s="2" t="str">
        <f t="shared" si="45"/>
        <v>Anna Schoggl</v>
      </c>
      <c r="E296" s="2" t="str">
        <f t="shared" si="46"/>
        <v>TEST OPSA HCP TEST OPSA HCP</v>
      </c>
      <c r="F296" s="4">
        <v>45963.768854166665</v>
      </c>
      <c r="G296" s="2" t="str">
        <f>HYPERLINK("https://otsuka-europe-crm.veevavault.com/ui/#object/approved_document__v/V5O000000004002", "INA - Episodio 2 Videopodcast Nos Quedamos En Casa")</f>
        <v>INA - Episodio 2 Videopodcast Nos Quedamos En Casa</v>
      </c>
      <c r="H296" s="3" t="s">
        <v>35</v>
      </c>
      <c r="I296" s="2" t="str">
        <f t="shared" si="44"/>
        <v>CRM Integration</v>
      </c>
    </row>
    <row r="297" spans="1:9" x14ac:dyDescent="0.2">
      <c r="A297" s="2" t="str">
        <f>HYPERLINK("https://otsuka-europe-crm.veevavault.com/ui/#object/multichannel_activity__v/V9V000000003010", "MCA-000135081")</f>
        <v>MCA-000135081</v>
      </c>
      <c r="B297" s="3" t="s">
        <v>9</v>
      </c>
      <c r="C297" s="2" t="str">
        <f>HYPERLINK("https://otsuka-europe-crm.veevavault.com/ui/#object/sent_email__v/VBL000000005371", "SE-001380241")</f>
        <v>SE-001380241</v>
      </c>
      <c r="D297" s="2" t="str">
        <f t="shared" si="45"/>
        <v>Anna Schoggl</v>
      </c>
      <c r="E297" s="2" t="str">
        <f t="shared" si="46"/>
        <v>TEST OPSA HCP TEST OPSA HCP</v>
      </c>
      <c r="F297" s="4">
        <v>45963.768854166665</v>
      </c>
      <c r="G297" s="2" t="str">
        <f>HYPERLINK("https://otsuka-europe-crm.veevavault.com/ui/#object/approved_document__v/V5O000000004002", "INA - Episodio 2 Videopodcast Nos Quedamos En Casa")</f>
        <v>INA - Episodio 2 Videopodcast Nos Quedamos En Casa</v>
      </c>
      <c r="H297" s="3" t="s">
        <v>35</v>
      </c>
      <c r="I297" s="2" t="str">
        <f t="shared" si="44"/>
        <v>CRM Integration</v>
      </c>
    </row>
    <row r="298" spans="1:9" x14ac:dyDescent="0.2">
      <c r="A298" s="2" t="str">
        <f>HYPERLINK("https://otsuka-europe-crm.veevavault.com/ui/#object/multichannel_activity__v/V9V000000004013", "MCA-000135086")</f>
        <v>MCA-000135086</v>
      </c>
      <c r="B298" s="3" t="s">
        <v>9</v>
      </c>
      <c r="C298" s="2" t="str">
        <f>HYPERLINK("https://otsuka-europe-crm.veevavault.com/ui/#object/sent_email__v/VBL000000004209", "SE-001380268")</f>
        <v>SE-001380268</v>
      </c>
      <c r="D298" s="2" t="str">
        <f t="shared" si="45"/>
        <v>Anna Schoggl</v>
      </c>
      <c r="E298" s="2" t="str">
        <f t="shared" si="46"/>
        <v>TEST OPSA HCP TEST OPSA HCP</v>
      </c>
      <c r="F298" s="4">
        <v>45964.411539351851</v>
      </c>
      <c r="G298" s="2" t="str">
        <f>HYPERLINK("https://otsuka-europe-crm.veevavault.com/ui/#object/approved_document__v/V5O000000004003", "INA - CC Paciente vulnerable con LMA TP53 Dra. Tormo")</f>
        <v>INA - CC Paciente vulnerable con LMA TP53 Dra. Tormo</v>
      </c>
      <c r="H298" s="3" t="s">
        <v>36</v>
      </c>
      <c r="I298" s="2" t="str">
        <f t="shared" si="44"/>
        <v>CRM Integration</v>
      </c>
    </row>
    <row r="299" spans="1:9" x14ac:dyDescent="0.2">
      <c r="A299" s="2" t="str">
        <f>HYPERLINK("https://otsuka-europe-crm.veevavault.com/ui/#object/multichannel_activity__v/V9V000000004014", "MCA-000135087")</f>
        <v>MCA-000135087</v>
      </c>
      <c r="B299" s="3" t="s">
        <v>9</v>
      </c>
      <c r="C299" s="2" t="str">
        <f>HYPERLINK("https://otsuka-europe-crm.veevavault.com/ui/#object/sent_email__v/VBL000000005371", "SE-001380241")</f>
        <v>SE-001380241</v>
      </c>
      <c r="D299" s="2" t="str">
        <f t="shared" si="45"/>
        <v>Anna Schoggl</v>
      </c>
      <c r="E299" s="2" t="str">
        <f t="shared" si="46"/>
        <v>TEST OPSA HCP TEST OPSA HCP</v>
      </c>
      <c r="F299" s="4">
        <v>45963.768854166665</v>
      </c>
      <c r="G299" s="2" t="str">
        <f>HYPERLINK("https://otsuka-europe-crm.veevavault.com/ui/#object/approved_document__v/V5O000000004002", "INA - Episodio 2 Videopodcast Nos Quedamos En Casa")</f>
        <v>INA - Episodio 2 Videopodcast Nos Quedamos En Casa</v>
      </c>
      <c r="H299" s="3" t="s">
        <v>35</v>
      </c>
      <c r="I299" s="2" t="str">
        <f t="shared" si="44"/>
        <v>CRM Integration</v>
      </c>
    </row>
    <row r="300" spans="1:9" x14ac:dyDescent="0.2">
      <c r="A300" s="2" t="str">
        <f>HYPERLINK("https://otsuka-europe-crm.veevavault.com/ui/#object/multichannel_activity__v/V9V000000003023", "MCA-000135109")</f>
        <v>MCA-000135109</v>
      </c>
      <c r="B300" s="3" t="s">
        <v>9</v>
      </c>
      <c r="C300" s="2" t="str">
        <f>HYPERLINK("https://otsuka-europe-crm.veevavault.com/ui/#object/sent_email__v/VBL000000005646", "SE-001380537")</f>
        <v>SE-001380537</v>
      </c>
      <c r="D300" s="2" t="str">
        <f t="shared" si="45"/>
        <v>Anna Schoggl</v>
      </c>
      <c r="E300" s="2" t="str">
        <f t="shared" si="46"/>
        <v>TEST OPSA HCP TEST OPSA HCP</v>
      </c>
      <c r="F300" s="4">
        <v>45965.321180555555</v>
      </c>
      <c r="G300" s="2" t="str">
        <f>HYPERLINK("https://otsuka-europe-crm.veevavault.com/ui/#object/approved_document__v/V5O000000003004", "INA - CC Paciente vulnerable con LMA TP53 Dra. Tormo")</f>
        <v>INA - CC Paciente vulnerable con LMA TP53 Dra. Tormo</v>
      </c>
      <c r="H300" s="3" t="s">
        <v>36</v>
      </c>
      <c r="I300" s="2" t="str">
        <f t="shared" si="44"/>
        <v>CRM Integration</v>
      </c>
    </row>
    <row r="301" spans="1:9" x14ac:dyDescent="0.2">
      <c r="A301" s="2" t="str">
        <f>HYPERLINK("https://otsuka-europe-crm.veevavault.com/ui/#object/multichannel_activity__v/V9V000000004026", "MCA-000135111")</f>
        <v>MCA-000135111</v>
      </c>
      <c r="B301" s="3" t="s">
        <v>9</v>
      </c>
      <c r="C301" s="2" t="str">
        <f>HYPERLINK("https://otsuka-europe-crm.veevavault.com/ui/#object/sent_email__v/VBL000000002173", "SE-001378755")</f>
        <v>SE-001378755</v>
      </c>
      <c r="D301" s="2" t="str">
        <f>HYPERLINK("https://otsuka-europe-crm.veevavault.com/ui/#object/user__sys/27667754", "CESAR VILA")</f>
        <v>CESAR VILA</v>
      </c>
      <c r="E301" s="2" t="str">
        <f>HYPERLINK("https://otsuka-europe-crm.veevavault.com/ui/#object/account__v/V4TZ06G6O71UQPH", "JUNKO MATSUURA")</f>
        <v>JUNKO MATSUURA</v>
      </c>
      <c r="F301" s="4">
        <v>45957.744745370372</v>
      </c>
      <c r="G301" s="2" t="str">
        <f>HYPERLINK("https://otsuka-europe-crm.veevavault.com/ui/#object/approved_document__v/V5OZ025E82UF0DE", "RXULTI - Presentación indicación adolescentes y dosis 0,5 mg")</f>
        <v>RXULTI - Presentación indicación adolescentes y dosis 0,5 mg</v>
      </c>
      <c r="H301" s="3" t="s">
        <v>32</v>
      </c>
      <c r="I301" s="2" t="str">
        <f t="shared" si="44"/>
        <v>CRM Integration</v>
      </c>
    </row>
    <row r="302" spans="1:9" x14ac:dyDescent="0.2">
      <c r="A302" s="2" t="str">
        <f>HYPERLINK("https://otsuka-europe-crm.veevavault.com/ui/#object/multichannel_activity__v/V9V000000004028", "MCA-000135112")</f>
        <v>MCA-000135112</v>
      </c>
      <c r="B302" s="3" t="s">
        <v>9</v>
      </c>
      <c r="C302" s="2" t="str">
        <f>HYPERLINK("https://otsuka-europe-crm.veevavault.com/ui/#object/sent_email__v/VBL000000002173", "SE-001378755")</f>
        <v>SE-001378755</v>
      </c>
      <c r="D302" s="2" t="str">
        <f>HYPERLINK("https://otsuka-europe-crm.veevavault.com/ui/#object/user__sys/27667754", "CESAR VILA")</f>
        <v>CESAR VILA</v>
      </c>
      <c r="E302" s="2" t="str">
        <f>HYPERLINK("https://otsuka-europe-crm.veevavault.com/ui/#object/account__v/V4TZ06G6O71UQPH", "JUNKO MATSUURA")</f>
        <v>JUNKO MATSUURA</v>
      </c>
      <c r="F302" s="4">
        <v>45957.744745370372</v>
      </c>
      <c r="G302" s="2" t="str">
        <f>HYPERLINK("https://otsuka-europe-crm.veevavault.com/ui/#object/approved_document__v/V5OZ025E82UF0DE", "RXULTI - Presentación indicación adolescentes y dosis 0,5 mg")</f>
        <v>RXULTI - Presentación indicación adolescentes y dosis 0,5 mg</v>
      </c>
      <c r="H302" s="3" t="s">
        <v>32</v>
      </c>
      <c r="I302" s="2" t="str">
        <f t="shared" si="44"/>
        <v>CRM Integration</v>
      </c>
    </row>
    <row r="303" spans="1:9" x14ac:dyDescent="0.2">
      <c r="A303" s="2" t="str">
        <f>HYPERLINK("https://otsuka-europe-crm.veevavault.com/ui/#object/multichannel_activity__v/V9V000000004027", "MCA-000135113")</f>
        <v>MCA-000135113</v>
      </c>
      <c r="B303" s="3" t="s">
        <v>9</v>
      </c>
      <c r="C303" s="2" t="str">
        <f>HYPERLINK("https://otsuka-europe-crm.veevavault.com/ui/#object/sent_email__v/VBL000000002173", "SE-001378755")</f>
        <v>SE-001378755</v>
      </c>
      <c r="D303" s="2" t="str">
        <f>HYPERLINK("https://otsuka-europe-crm.veevavault.com/ui/#object/user__sys/27667754", "CESAR VILA")</f>
        <v>CESAR VILA</v>
      </c>
      <c r="E303" s="2" t="str">
        <f>HYPERLINK("https://otsuka-europe-crm.veevavault.com/ui/#object/account__v/V4TZ06G6O71UQPH", "JUNKO MATSUURA")</f>
        <v>JUNKO MATSUURA</v>
      </c>
      <c r="F303" s="4">
        <v>45957.744745370372</v>
      </c>
      <c r="G303" s="2" t="str">
        <f>HYPERLINK("https://otsuka-europe-crm.veevavault.com/ui/#object/approved_document__v/V5OZ025E82UF0DE", "RXULTI - Presentación indicación adolescentes y dosis 0,5 mg")</f>
        <v>RXULTI - Presentación indicación adolescentes y dosis 0,5 mg</v>
      </c>
      <c r="H303" s="3" t="s">
        <v>32</v>
      </c>
      <c r="I303" s="2" t="str">
        <f t="shared" si="44"/>
        <v>CRM Integration</v>
      </c>
    </row>
    <row r="304" spans="1:9" x14ac:dyDescent="0.2">
      <c r="A304" s="2" t="str">
        <f>HYPERLINK("https://otsuka-europe-crm.veevavault.com/ui/#object/multichannel_activity__v/V9V000000003025", "MCA-000135114")</f>
        <v>MCA-000135114</v>
      </c>
      <c r="B304" s="3" t="s">
        <v>9</v>
      </c>
      <c r="C304" s="2" t="str">
        <f>HYPERLINK("https://otsuka-europe-crm.veevavault.com/ui/#object/sent_email__v/VBL000000002173", "SE-001378755")</f>
        <v>SE-001378755</v>
      </c>
      <c r="D304" s="2" t="str">
        <f>HYPERLINK("https://otsuka-europe-crm.veevavault.com/ui/#object/user__sys/27667754", "CESAR VILA")</f>
        <v>CESAR VILA</v>
      </c>
      <c r="E304" s="2" t="str">
        <f>HYPERLINK("https://otsuka-europe-crm.veevavault.com/ui/#object/account__v/V4TZ06G6O71UQPH", "JUNKO MATSUURA")</f>
        <v>JUNKO MATSUURA</v>
      </c>
      <c r="F304" s="4">
        <v>45957.744745370372</v>
      </c>
      <c r="G304" s="2" t="str">
        <f>HYPERLINK("https://otsuka-europe-crm.veevavault.com/ui/#object/approved_document__v/V5OZ025E82UF0DE", "RXULTI - Presentación indicación adolescentes y dosis 0,5 mg")</f>
        <v>RXULTI - Presentación indicación adolescentes y dosis 0,5 mg</v>
      </c>
      <c r="H304" s="3" t="s">
        <v>32</v>
      </c>
      <c r="I304" s="2" t="str">
        <f t="shared" si="44"/>
        <v>CRM Integration</v>
      </c>
    </row>
    <row r="305" spans="1:9" x14ac:dyDescent="0.2">
      <c r="A305" s="2" t="str">
        <f>HYPERLINK("https://otsuka-europe-crm.veevavault.com/ui/#object/multichannel_activity__v/V9V000000008004", "MCA-000135229")</f>
        <v>MCA-000135229</v>
      </c>
      <c r="B305" s="3" t="s">
        <v>9</v>
      </c>
      <c r="C305" s="2" t="str">
        <f>HYPERLINK("https://otsuka-europe-crm.veevavault.com/ui/#object/sent_email__v/VBL00000000F141", "SE-001386464")</f>
        <v>SE-001386464</v>
      </c>
      <c r="D305" s="2" t="str">
        <f>HYPERLINK("https://otsuka-europe-crm.veevavault.com/ui/#object/user__sys/23350261", "Martina Sala Pallares")</f>
        <v>Martina Sala Pallares</v>
      </c>
      <c r="E305" s="2" t="str">
        <f>HYPERLINK("https://otsuka-europe-crm.veevavault.com/ui/#object/account__v/V4TZ06G6OA5WQFG", "TEST OPSA HCP TEST OPSA HCP")</f>
        <v>TEST OPSA HCP TEST OPSA HCP</v>
      </c>
      <c r="F305" s="4">
        <v>45971.674872685187</v>
      </c>
      <c r="G305" s="2" t="str">
        <f>HYPERLINK("https://otsuka-europe-crm.veevavault.com/ui/#object/approved_document__v/V5O000000006001", "RXULTI - Comparativa antipsicóticos")</f>
        <v>RXULTI - Comparativa antipsicóticos</v>
      </c>
      <c r="H305" s="3" t="s">
        <v>37</v>
      </c>
      <c r="I305" s="2" t="str">
        <f t="shared" si="44"/>
        <v>CRM Integration</v>
      </c>
    </row>
    <row r="306" spans="1:9" x14ac:dyDescent="0.2">
      <c r="A306" s="2" t="str">
        <f>HYPERLINK("https://otsuka-europe-crm.veevavault.com/ui/#object/multichannel_activity__v/V9V000000009001", "MCA-000135393")</f>
        <v>MCA-000135393</v>
      </c>
      <c r="B306" s="3" t="s">
        <v>9</v>
      </c>
      <c r="C306" s="2" t="str">
        <f>HYPERLINK("https://otsuka-europe-crm.veevavault.com/ui/#object/sent_email__v/VBL00000000O505", "SE-001391086")</f>
        <v>SE-001391086</v>
      </c>
      <c r="D306" s="2" t="str">
        <f t="shared" ref="D306:D321" si="47">HYPERLINK("https://otsuka-europe-crm.veevavault.com/ui/#object/user__sys/27667832", "Toni Uusitalo")</f>
        <v>Toni Uusitalo</v>
      </c>
      <c r="E306" s="2" t="str">
        <f>HYPERLINK("https://otsuka-europe-crm.veevavault.com/ui/#object/account__v/V4TZ00000635VL4", "Heli Hosike")</f>
        <v>Heli Hosike</v>
      </c>
      <c r="F306" s="4">
        <v>45980.258125</v>
      </c>
      <c r="G306" s="2" t="str">
        <f t="shared" ref="G306:G321" si="48">HYPERLINK("https://otsuka-europe-crm.veevavault.com/ui/#object/approved_document__v/V5OZ025E82UGNMP", "FI AM2 VAE 720mg TUU FI-AM2-2500020")</f>
        <v>FI AM2 VAE 720mg TUU FI-AM2-2500020</v>
      </c>
      <c r="H306" s="3" t="s">
        <v>38</v>
      </c>
      <c r="I306" s="2" t="str">
        <f t="shared" si="44"/>
        <v>CRM Integration</v>
      </c>
    </row>
    <row r="307" spans="1:9" x14ac:dyDescent="0.2">
      <c r="A307" s="2" t="str">
        <f>HYPERLINK("https://otsuka-europe-crm.veevavault.com/ui/#object/multichannel_activity__v/V9V000000009002", "MCA-000135394")</f>
        <v>MCA-000135394</v>
      </c>
      <c r="B307" s="3" t="s">
        <v>13</v>
      </c>
      <c r="C307" s="2" t="str">
        <f>HYPERLINK("https://otsuka-europe-crm.veevavault.com/ui/#object/sent_email__v/VBL00000000O505", "SE-001391086")</f>
        <v>SE-001391086</v>
      </c>
      <c r="D307" s="2" t="str">
        <f t="shared" si="47"/>
        <v>Toni Uusitalo</v>
      </c>
      <c r="E307" s="2" t="str">
        <f>HYPERLINK("https://otsuka-europe-crm.veevavault.com/ui/#object/account__v/V4TZ00000635VL4", "Heli Hosike")</f>
        <v>Heli Hosike</v>
      </c>
      <c r="F307" s="4">
        <v>45980.258125</v>
      </c>
      <c r="G307" s="2" t="str">
        <f t="shared" si="48"/>
        <v>FI AM2 VAE 720mg TUU FI-AM2-2500020</v>
      </c>
      <c r="H307" s="3" t="s">
        <v>38</v>
      </c>
      <c r="I307" s="2" t="str">
        <f t="shared" si="44"/>
        <v>CRM Integration</v>
      </c>
    </row>
    <row r="308" spans="1:9" x14ac:dyDescent="0.2">
      <c r="A308" s="2" t="str">
        <f>HYPERLINK("https://otsuka-europe-crm.veevavault.com/ui/#object/multichannel_activity__v/V9V000000009004", "MCA-000135395")</f>
        <v>MCA-000135395</v>
      </c>
      <c r="B308" s="3" t="s">
        <v>9</v>
      </c>
      <c r="C308" s="2" t="str">
        <f>HYPERLINK("https://otsuka-europe-crm.veevavault.com/ui/#object/sent_email__v/VBL00000000O505", "SE-001391086")</f>
        <v>SE-001391086</v>
      </c>
      <c r="D308" s="2" t="str">
        <f t="shared" si="47"/>
        <v>Toni Uusitalo</v>
      </c>
      <c r="E308" s="2" t="str">
        <f>HYPERLINK("https://otsuka-europe-crm.veevavault.com/ui/#object/account__v/V4TZ00000635VL4", "Heli Hosike")</f>
        <v>Heli Hosike</v>
      </c>
      <c r="F308" s="4">
        <v>45980.258125</v>
      </c>
      <c r="G308" s="2" t="str">
        <f t="shared" si="48"/>
        <v>FI AM2 VAE 720mg TUU FI-AM2-2500020</v>
      </c>
      <c r="H308" s="3" t="s">
        <v>38</v>
      </c>
      <c r="I308" s="2" t="str">
        <f t="shared" si="44"/>
        <v>CRM Integration</v>
      </c>
    </row>
    <row r="309" spans="1:9" x14ac:dyDescent="0.2">
      <c r="A309" s="2" t="str">
        <f>HYPERLINK("https://otsuka-europe-crm.veevavault.com/ui/#object/multichannel_activity__v/V9V000000009003", "MCA-000135396")</f>
        <v>MCA-000135396</v>
      </c>
      <c r="B309" s="3" t="s">
        <v>13</v>
      </c>
      <c r="C309" s="2" t="str">
        <f>HYPERLINK("https://otsuka-europe-crm.veevavault.com/ui/#object/sent_email__v/VBL00000000O505", "SE-001391086")</f>
        <v>SE-001391086</v>
      </c>
      <c r="D309" s="2" t="str">
        <f t="shared" si="47"/>
        <v>Toni Uusitalo</v>
      </c>
      <c r="E309" s="2" t="str">
        <f>HYPERLINK("https://otsuka-europe-crm.veevavault.com/ui/#object/account__v/V4TZ00000635VL4", "Heli Hosike")</f>
        <v>Heli Hosike</v>
      </c>
      <c r="F309" s="4">
        <v>45980.258125</v>
      </c>
      <c r="G309" s="2" t="str">
        <f t="shared" si="48"/>
        <v>FI AM2 VAE 720mg TUU FI-AM2-2500020</v>
      </c>
      <c r="H309" s="3" t="s">
        <v>38</v>
      </c>
      <c r="I309" s="2" t="str">
        <f t="shared" si="44"/>
        <v>CRM Integration</v>
      </c>
    </row>
    <row r="310" spans="1:9" x14ac:dyDescent="0.2">
      <c r="A310" s="2" t="str">
        <f>HYPERLINK("https://otsuka-europe-crm.veevavault.com/ui/#object/multichannel_activity__v/V9V000000009005", "MCA-000135397")</f>
        <v>MCA-000135397</v>
      </c>
      <c r="B310" s="3" t="s">
        <v>13</v>
      </c>
      <c r="C310" s="2" t="str">
        <f>HYPERLINK("https://otsuka-europe-crm.veevavault.com/ui/#object/sent_email__v/VBL00000000O507", "SE-001391088")</f>
        <v>SE-001391088</v>
      </c>
      <c r="D310" s="2" t="str">
        <f t="shared" si="47"/>
        <v>Toni Uusitalo</v>
      </c>
      <c r="E310" s="2" t="str">
        <f>HYPERLINK("https://otsuka-europe-crm.veevavault.com/ui/#object/account__v/V4TZ00000635T8V", "Ann-Mari Härmä")</f>
        <v>Ann-Mari Härmä</v>
      </c>
      <c r="F310" s="4">
        <v>45980.258090277777</v>
      </c>
      <c r="G310" s="2" t="str">
        <f t="shared" si="48"/>
        <v>FI AM2 VAE 720mg TUU FI-AM2-2500020</v>
      </c>
      <c r="H310" s="3" t="s">
        <v>38</v>
      </c>
      <c r="I310" s="2" t="str">
        <f t="shared" si="44"/>
        <v>CRM Integration</v>
      </c>
    </row>
    <row r="311" spans="1:9" x14ac:dyDescent="0.2">
      <c r="A311" s="2" t="str">
        <f>HYPERLINK("https://otsuka-europe-crm.veevavault.com/ui/#object/multichannel_activity__v/V9V000000009006", "MCA-000135398")</f>
        <v>MCA-000135398</v>
      </c>
      <c r="B311" s="3" t="s">
        <v>9</v>
      </c>
      <c r="C311" s="2" t="str">
        <f>HYPERLINK("https://otsuka-europe-crm.veevavault.com/ui/#object/sent_email__v/VBL00000000O507", "SE-001391088")</f>
        <v>SE-001391088</v>
      </c>
      <c r="D311" s="2" t="str">
        <f t="shared" si="47"/>
        <v>Toni Uusitalo</v>
      </c>
      <c r="E311" s="2" t="str">
        <f>HYPERLINK("https://otsuka-europe-crm.veevavault.com/ui/#object/account__v/V4TZ00000635T8V", "Ann-Mari Härmä")</f>
        <v>Ann-Mari Härmä</v>
      </c>
      <c r="F311" s="4">
        <v>45980.258090277777</v>
      </c>
      <c r="G311" s="2" t="str">
        <f t="shared" si="48"/>
        <v>FI AM2 VAE 720mg TUU FI-AM2-2500020</v>
      </c>
      <c r="H311" s="3" t="s">
        <v>38</v>
      </c>
      <c r="I311" s="2" t="str">
        <f t="shared" si="44"/>
        <v>CRM Integration</v>
      </c>
    </row>
    <row r="312" spans="1:9" x14ac:dyDescent="0.2">
      <c r="A312" s="2" t="str">
        <f>HYPERLINK("https://otsuka-europe-crm.veevavault.com/ui/#object/multichannel_activity__v/V9V000000009007", "MCA-000135399")</f>
        <v>MCA-000135399</v>
      </c>
      <c r="B312" s="3" t="s">
        <v>9</v>
      </c>
      <c r="C312" s="2" t="str">
        <f>HYPERLINK("https://otsuka-europe-crm.veevavault.com/ui/#object/sent_email__v/VBL00000000O507", "SE-001391088")</f>
        <v>SE-001391088</v>
      </c>
      <c r="D312" s="2" t="str">
        <f t="shared" si="47"/>
        <v>Toni Uusitalo</v>
      </c>
      <c r="E312" s="2" t="str">
        <f>HYPERLINK("https://otsuka-europe-crm.veevavault.com/ui/#object/account__v/V4TZ00000635T8V", "Ann-Mari Härmä")</f>
        <v>Ann-Mari Härmä</v>
      </c>
      <c r="F312" s="4">
        <v>45980.258090277777</v>
      </c>
      <c r="G312" s="2" t="str">
        <f t="shared" si="48"/>
        <v>FI AM2 VAE 720mg TUU FI-AM2-2500020</v>
      </c>
      <c r="H312" s="3" t="s">
        <v>38</v>
      </c>
      <c r="I312" s="2" t="str">
        <f t="shared" si="44"/>
        <v>CRM Integration</v>
      </c>
    </row>
    <row r="313" spans="1:9" x14ac:dyDescent="0.2">
      <c r="A313" s="2" t="str">
        <f>HYPERLINK("https://otsuka-europe-crm.veevavault.com/ui/#object/multichannel_activity__v/V9V000000009008", "MCA-000135400")</f>
        <v>MCA-000135400</v>
      </c>
      <c r="B313" s="3" t="s">
        <v>13</v>
      </c>
      <c r="C313" s="2" t="str">
        <f>HYPERLINK("https://otsuka-europe-crm.veevavault.com/ui/#object/sent_email__v/VBL00000000O507", "SE-001391088")</f>
        <v>SE-001391088</v>
      </c>
      <c r="D313" s="2" t="str">
        <f t="shared" si="47"/>
        <v>Toni Uusitalo</v>
      </c>
      <c r="E313" s="2" t="str">
        <f>HYPERLINK("https://otsuka-europe-crm.veevavault.com/ui/#object/account__v/V4TZ00000635T8V", "Ann-Mari Härmä")</f>
        <v>Ann-Mari Härmä</v>
      </c>
      <c r="F313" s="4">
        <v>45980.258090277777</v>
      </c>
      <c r="G313" s="2" t="str">
        <f t="shared" si="48"/>
        <v>FI AM2 VAE 720mg TUU FI-AM2-2500020</v>
      </c>
      <c r="H313" s="3" t="s">
        <v>38</v>
      </c>
      <c r="I313" s="2" t="str">
        <f t="shared" si="44"/>
        <v>CRM Integration</v>
      </c>
    </row>
    <row r="314" spans="1:9" x14ac:dyDescent="0.2">
      <c r="A314" s="2" t="str">
        <f>HYPERLINK("https://otsuka-europe-crm.veevavault.com/ui/#object/multichannel_activity__v/V9V000000009009", "MCA-000135401")</f>
        <v>MCA-000135401</v>
      </c>
      <c r="B314" s="3" t="s">
        <v>13</v>
      </c>
      <c r="C314" s="2" t="str">
        <f>HYPERLINK("https://otsuka-europe-crm.veevavault.com/ui/#object/sent_email__v/VBL00000000P008", "SE-001391107")</f>
        <v>SE-001391107</v>
      </c>
      <c r="D314" s="2" t="str">
        <f t="shared" si="47"/>
        <v>Toni Uusitalo</v>
      </c>
      <c r="E314" s="2" t="str">
        <f>HYPERLINK("https://otsuka-europe-crm.veevavault.com/ui/#object/account__v/V4TZ000006DIPXH", "Anne-Mari Laurila")</f>
        <v>Anne-Mari Laurila</v>
      </c>
      <c r="F314" s="4">
        <v>45980.264097222222</v>
      </c>
      <c r="G314" s="2" t="str">
        <f t="shared" si="48"/>
        <v>FI AM2 VAE 720mg TUU FI-AM2-2500020</v>
      </c>
      <c r="H314" s="3" t="s">
        <v>38</v>
      </c>
      <c r="I314" s="2" t="str">
        <f t="shared" si="44"/>
        <v>CRM Integration</v>
      </c>
    </row>
    <row r="315" spans="1:9" x14ac:dyDescent="0.2">
      <c r="A315" s="2" t="str">
        <f>HYPERLINK("https://otsuka-europe-crm.veevavault.com/ui/#object/multichannel_activity__v/V9V000000009010", "MCA-000135402")</f>
        <v>MCA-000135402</v>
      </c>
      <c r="B315" s="3" t="s">
        <v>9</v>
      </c>
      <c r="C315" s="2" t="str">
        <f>HYPERLINK("https://otsuka-europe-crm.veevavault.com/ui/#object/sent_email__v/VBL00000000P008", "SE-001391107")</f>
        <v>SE-001391107</v>
      </c>
      <c r="D315" s="2" t="str">
        <f t="shared" si="47"/>
        <v>Toni Uusitalo</v>
      </c>
      <c r="E315" s="2" t="str">
        <f>HYPERLINK("https://otsuka-europe-crm.veevavault.com/ui/#object/account__v/V4TZ000006DIPXH", "Anne-Mari Laurila")</f>
        <v>Anne-Mari Laurila</v>
      </c>
      <c r="F315" s="4">
        <v>45980.264097222222</v>
      </c>
      <c r="G315" s="2" t="str">
        <f t="shared" si="48"/>
        <v>FI AM2 VAE 720mg TUU FI-AM2-2500020</v>
      </c>
      <c r="H315" s="3" t="s">
        <v>38</v>
      </c>
      <c r="I315" s="2" t="str">
        <f t="shared" si="44"/>
        <v>CRM Integration</v>
      </c>
    </row>
    <row r="316" spans="1:9" x14ac:dyDescent="0.2">
      <c r="A316" s="2" t="str">
        <f>HYPERLINK("https://otsuka-europe-crm.veevavault.com/ui/#object/multichannel_activity__v/V9V000000009011", "MCA-000135403")</f>
        <v>MCA-000135403</v>
      </c>
      <c r="B316" s="3" t="s">
        <v>13</v>
      </c>
      <c r="C316" s="2" t="str">
        <f>HYPERLINK("https://otsuka-europe-crm.veevavault.com/ui/#object/sent_email__v/VBL00000000P008", "SE-001391107")</f>
        <v>SE-001391107</v>
      </c>
      <c r="D316" s="2" t="str">
        <f t="shared" si="47"/>
        <v>Toni Uusitalo</v>
      </c>
      <c r="E316" s="2" t="str">
        <f>HYPERLINK("https://otsuka-europe-crm.veevavault.com/ui/#object/account__v/V4TZ000006DIPXH", "Anne-Mari Laurila")</f>
        <v>Anne-Mari Laurila</v>
      </c>
      <c r="F316" s="4">
        <v>45980.264097222222</v>
      </c>
      <c r="G316" s="2" t="str">
        <f t="shared" si="48"/>
        <v>FI AM2 VAE 720mg TUU FI-AM2-2500020</v>
      </c>
      <c r="H316" s="3" t="s">
        <v>38</v>
      </c>
      <c r="I316" s="2" t="str">
        <f t="shared" si="44"/>
        <v>CRM Integration</v>
      </c>
    </row>
    <row r="317" spans="1:9" x14ac:dyDescent="0.2">
      <c r="A317" s="2" t="str">
        <f>HYPERLINK("https://otsuka-europe-crm.veevavault.com/ui/#object/multichannel_activity__v/V9V000000009012", "MCA-000135404")</f>
        <v>MCA-000135404</v>
      </c>
      <c r="B317" s="3" t="s">
        <v>9</v>
      </c>
      <c r="C317" s="2" t="str">
        <f>HYPERLINK("https://otsuka-europe-crm.veevavault.com/ui/#object/sent_email__v/VBL00000000P008", "SE-001391107")</f>
        <v>SE-001391107</v>
      </c>
      <c r="D317" s="2" t="str">
        <f t="shared" si="47"/>
        <v>Toni Uusitalo</v>
      </c>
      <c r="E317" s="2" t="str">
        <f>HYPERLINK("https://otsuka-europe-crm.veevavault.com/ui/#object/account__v/V4TZ000006DIPXH", "Anne-Mari Laurila")</f>
        <v>Anne-Mari Laurila</v>
      </c>
      <c r="F317" s="4">
        <v>45980.264097222222</v>
      </c>
      <c r="G317" s="2" t="str">
        <f t="shared" si="48"/>
        <v>FI AM2 VAE 720mg TUU FI-AM2-2500020</v>
      </c>
      <c r="H317" s="3" t="s">
        <v>38</v>
      </c>
      <c r="I317" s="2" t="str">
        <f t="shared" si="44"/>
        <v>CRM Integration</v>
      </c>
    </row>
    <row r="318" spans="1:9" x14ac:dyDescent="0.2">
      <c r="A318" s="2" t="str">
        <f>HYPERLINK("https://otsuka-europe-crm.veevavault.com/ui/#object/multichannel_activity__v/V9V000000009013", "MCA-000135405")</f>
        <v>MCA-000135405</v>
      </c>
      <c r="B318" s="3" t="s">
        <v>9</v>
      </c>
      <c r="C318" s="2" t="str">
        <f>HYPERLINK("https://otsuka-europe-crm.veevavault.com/ui/#object/sent_email__v/VBL00000000P013", "SE-001391112")</f>
        <v>SE-001391112</v>
      </c>
      <c r="D318" s="2" t="str">
        <f t="shared" si="47"/>
        <v>Toni Uusitalo</v>
      </c>
      <c r="E318" s="2" t="str">
        <f>HYPERLINK("https://otsuka-europe-crm.veevavault.com/ui/#object/account__v/V4TZ00000635V3N", "Tiina Mattila")</f>
        <v>Tiina Mattila</v>
      </c>
      <c r="F318" s="4">
        <v>45980.266192129631</v>
      </c>
      <c r="G318" s="2" t="str">
        <f t="shared" si="48"/>
        <v>FI AM2 VAE 720mg TUU FI-AM2-2500020</v>
      </c>
      <c r="H318" s="3" t="s">
        <v>38</v>
      </c>
      <c r="I318" s="2" t="str">
        <f t="shared" si="44"/>
        <v>CRM Integration</v>
      </c>
    </row>
    <row r="319" spans="1:9" x14ac:dyDescent="0.2">
      <c r="A319" s="2" t="str">
        <f>HYPERLINK("https://otsuka-europe-crm.veevavault.com/ui/#object/multichannel_activity__v/V9V00000000A001", "MCA-000135406")</f>
        <v>MCA-000135406</v>
      </c>
      <c r="B319" s="3" t="s">
        <v>13</v>
      </c>
      <c r="C319" s="2" t="str">
        <f>HYPERLINK("https://otsuka-europe-crm.veevavault.com/ui/#object/sent_email__v/VBL00000000P013", "SE-001391112")</f>
        <v>SE-001391112</v>
      </c>
      <c r="D319" s="2" t="str">
        <f t="shared" si="47"/>
        <v>Toni Uusitalo</v>
      </c>
      <c r="E319" s="2" t="str">
        <f>HYPERLINK("https://otsuka-europe-crm.veevavault.com/ui/#object/account__v/V4TZ00000635V3N", "Tiina Mattila")</f>
        <v>Tiina Mattila</v>
      </c>
      <c r="F319" s="4">
        <v>45980.266192129631</v>
      </c>
      <c r="G319" s="2" t="str">
        <f t="shared" si="48"/>
        <v>FI AM2 VAE 720mg TUU FI-AM2-2500020</v>
      </c>
      <c r="H319" s="3" t="s">
        <v>38</v>
      </c>
      <c r="I319" s="2" t="str">
        <f t="shared" si="44"/>
        <v>CRM Integration</v>
      </c>
    </row>
    <row r="320" spans="1:9" x14ac:dyDescent="0.2">
      <c r="A320" s="2" t="str">
        <f>HYPERLINK("https://otsuka-europe-crm.veevavault.com/ui/#object/multichannel_activity__v/V9V00000000A002", "MCA-000135407")</f>
        <v>MCA-000135407</v>
      </c>
      <c r="B320" s="3" t="s">
        <v>9</v>
      </c>
      <c r="C320" s="2" t="str">
        <f>HYPERLINK("https://otsuka-europe-crm.veevavault.com/ui/#object/sent_email__v/VBL00000000P013", "SE-001391112")</f>
        <v>SE-001391112</v>
      </c>
      <c r="D320" s="2" t="str">
        <f t="shared" si="47"/>
        <v>Toni Uusitalo</v>
      </c>
      <c r="E320" s="2" t="str">
        <f>HYPERLINK("https://otsuka-europe-crm.veevavault.com/ui/#object/account__v/V4TZ00000635V3N", "Tiina Mattila")</f>
        <v>Tiina Mattila</v>
      </c>
      <c r="F320" s="4">
        <v>45980.266192129631</v>
      </c>
      <c r="G320" s="2" t="str">
        <f t="shared" si="48"/>
        <v>FI AM2 VAE 720mg TUU FI-AM2-2500020</v>
      </c>
      <c r="H320" s="3" t="s">
        <v>38</v>
      </c>
      <c r="I320" s="2" t="str">
        <f t="shared" si="44"/>
        <v>CRM Integration</v>
      </c>
    </row>
    <row r="321" spans="1:9" x14ac:dyDescent="0.2">
      <c r="A321" s="2" t="str">
        <f>HYPERLINK("https://otsuka-europe-crm.veevavault.com/ui/#object/multichannel_activity__v/V9V00000000A003", "MCA-000135408")</f>
        <v>MCA-000135408</v>
      </c>
      <c r="B321" s="3" t="s">
        <v>13</v>
      </c>
      <c r="C321" s="2" t="str">
        <f>HYPERLINK("https://otsuka-europe-crm.veevavault.com/ui/#object/sent_email__v/VBL00000000P013", "SE-001391112")</f>
        <v>SE-001391112</v>
      </c>
      <c r="D321" s="2" t="str">
        <f t="shared" si="47"/>
        <v>Toni Uusitalo</v>
      </c>
      <c r="E321" s="2" t="str">
        <f>HYPERLINK("https://otsuka-europe-crm.veevavault.com/ui/#object/account__v/V4TZ00000635V3N", "Tiina Mattila")</f>
        <v>Tiina Mattila</v>
      </c>
      <c r="F321" s="4">
        <v>45980.266192129631</v>
      </c>
      <c r="G321" s="2" t="str">
        <f t="shared" si="48"/>
        <v>FI AM2 VAE 720mg TUU FI-AM2-2500020</v>
      </c>
      <c r="H321" s="3" t="s">
        <v>38</v>
      </c>
      <c r="I321" s="2" t="str">
        <f t="shared" ref="I321:I352" si="49">HYPERLINK("https://otsuka-europe-crm.veevavault.com/ui/#object/user__sys/27998896", "CRM Integration")</f>
        <v>CRM Integration</v>
      </c>
    </row>
    <row r="322" spans="1:9" x14ac:dyDescent="0.2">
      <c r="A322" s="2" t="str">
        <f>HYPERLINK("https://otsuka-europe-crm.veevavault.com/ui/#object/multichannel_activity__v/V9V00000000A025", "MCA-000135460")</f>
        <v>MCA-000135460</v>
      </c>
      <c r="B322" s="3" t="s">
        <v>9</v>
      </c>
      <c r="C322" s="2" t="str">
        <f>HYPERLINK("https://otsuka-europe-crm.veevavault.com/ui/#object/sent_email__v/VBL00000000G726", "SE-001386118")</f>
        <v>SE-001386118</v>
      </c>
      <c r="D322" s="2" t="str">
        <f>HYPERLINK("https://otsuka-europe-crm.veevavault.com/ui/#object/user__sys/27667820", "Miriam Bechagra")</f>
        <v>Miriam Bechagra</v>
      </c>
      <c r="E322" s="2" t="str">
        <f>HYPERLINK("https://otsuka-europe-crm.veevavault.com/ui/#object/account__v/V4TZ025E86VZD88", "FEDERICA DOMESTICO")</f>
        <v>FEDERICA DOMESTICO</v>
      </c>
      <c r="F322" s="4">
        <v>45971.646134259259</v>
      </c>
      <c r="G322" s="2" t="str">
        <f>HYPERLINK("https://otsuka-europe-crm.veevavault.com/ui/#object/approved_document__v/V5OZ025E82T9SYL", "OTSUKA_ABILIFY 960/720_Branded_AE lancio 960/720_IT-AM2-2500122")</f>
        <v>OTSUKA_ABILIFY 960/720_Branded_AE lancio 960/720_IT-AM2-2500122</v>
      </c>
      <c r="H322" s="3" t="s">
        <v>28</v>
      </c>
      <c r="I322" s="2" t="str">
        <f t="shared" si="49"/>
        <v>CRM Integration</v>
      </c>
    </row>
    <row r="323" spans="1:9" x14ac:dyDescent="0.2">
      <c r="A323" s="2" t="str">
        <f>HYPERLINK("https://otsuka-europe-crm.veevavault.com/ui/#object/multichannel_activity__v/V9V00000000C060", "MCA-000135591")</f>
        <v>MCA-000135591</v>
      </c>
      <c r="B323" s="3" t="s">
        <v>9</v>
      </c>
      <c r="C323" s="2" t="str">
        <f>HYPERLINK("https://otsuka-europe-crm.veevavault.com/ui/#object/sent_email__v/VBL00000000U151", "SE-001394551")</f>
        <v>SE-001394551</v>
      </c>
      <c r="D323" s="2" t="str">
        <f>HYPERLINK("https://otsuka-europe-crm.veevavault.com/ui/#object/user__sys/23350261", "Martina Sala Pallares")</f>
        <v>Martina Sala Pallares</v>
      </c>
      <c r="E323" s="2" t="str">
        <f>HYPERLINK("https://otsuka-europe-crm.veevavault.com/ui/#object/account__v/V4TZ06G6OA5WQFG", "TEST OPSA HCP TEST OPSA HCP")</f>
        <v>TEST OPSA HCP TEST OPSA HCP</v>
      </c>
      <c r="F323" s="4">
        <v>45993.351145833331</v>
      </c>
      <c r="G323" s="2" t="str">
        <f>HYPERLINK("https://otsuka-europe-crm.veevavault.com/ui/#object/approved_document__v/V5O00000000A064", "RXULTI - Vídeo Carmen Moreno - Retos y necesidades de la esquizofrenia infantojuvenil")</f>
        <v>RXULTI - Vídeo Carmen Moreno - Retos y necesidades de la esquizofrenia infantojuvenil</v>
      </c>
      <c r="H323" s="3" t="s">
        <v>39</v>
      </c>
      <c r="I323" s="2" t="str">
        <f t="shared" si="49"/>
        <v>CRM Integration</v>
      </c>
    </row>
    <row r="324" spans="1:9" x14ac:dyDescent="0.2">
      <c r="A324" s="2" t="str">
        <f>HYPERLINK("https://otsuka-europe-crm.veevavault.com/ui/#object/multichannel_activity__v/V9V00000000C061", "MCA-000135592")</f>
        <v>MCA-000135592</v>
      </c>
      <c r="B324" s="3" t="s">
        <v>9</v>
      </c>
      <c r="C324" s="2" t="str">
        <f>HYPERLINK("https://otsuka-europe-crm.veevavault.com/ui/#object/sent_email__v/VBL00000000U152", "SE-001394552")</f>
        <v>SE-001394552</v>
      </c>
      <c r="D324" s="2" t="str">
        <f>HYPERLINK("https://otsuka-europe-crm.veevavault.com/ui/#object/user__sys/23350261", "Martina Sala Pallares")</f>
        <v>Martina Sala Pallares</v>
      </c>
      <c r="E324" s="2" t="str">
        <f>HYPERLINK("https://otsuka-europe-crm.veevavault.com/ui/#object/account__v/V4TZ06G6OA5WQFG", "TEST OPSA HCP TEST OPSA HCP")</f>
        <v>TEST OPSA HCP TEST OPSA HCP</v>
      </c>
      <c r="F324" s="4">
        <v>45993.351388888892</v>
      </c>
      <c r="G324" s="2" t="str">
        <f>HYPERLINK("https://otsuka-europe-crm.veevavault.com/ui/#object/approved_document__v/V5O00000000A066", "RXULTI - Vídeo Isabel Hernández - RXULTI, nueva alternativa para adolescentes con esquizofrenia")</f>
        <v>RXULTI - Vídeo Isabel Hernández - RXULTI, nueva alternativa para adolescentes con esquizofrenia</v>
      </c>
      <c r="H324" s="3" t="s">
        <v>40</v>
      </c>
      <c r="I324" s="2" t="str">
        <f t="shared" si="49"/>
        <v>CRM Integration</v>
      </c>
    </row>
    <row r="325" spans="1:9" x14ac:dyDescent="0.2">
      <c r="A325" s="2" t="str">
        <f>HYPERLINK("https://otsuka-europe-crm.veevavault.com/ui/#object/multichannel_activity__v/V9V00000000C079", "MCA-000135618")</f>
        <v>MCA-000135618</v>
      </c>
      <c r="B325" s="3" t="s">
        <v>9</v>
      </c>
      <c r="C325" s="2" t="str">
        <f>HYPERLINK("https://otsuka-europe-crm.veevavault.com/ui/#object/sent_email__v/VBL00000000U507", "SE-001395055")</f>
        <v>SE-001395055</v>
      </c>
      <c r="D325" s="2" t="str">
        <f t="shared" ref="D325:D330" si="50">HYPERLINK("https://otsuka-europe-crm.veevavault.com/ui/#object/user__sys/27667928", "Matteo Di Gennaro")</f>
        <v>Matteo Di Gennaro</v>
      </c>
      <c r="E325" s="2" t="str">
        <f t="shared" ref="E325:E330" si="51">HYPERLINK("https://otsuka-europe-crm.veevavault.com/ui/#object/account__v/V4TZ06G6O71VWBL", "FRANCESCA TESTA")</f>
        <v>FRANCESCA TESTA</v>
      </c>
      <c r="F325" s="4">
        <v>45995.372233796297</v>
      </c>
      <c r="G325" s="2" t="str">
        <f>HYPERLINK("https://otsuka-europe-crm.veevavault.com/ui/#object/approved_document__v/V5OZ025E82RR47T", "AE Propensity Analysis- IT-LUP-2500004 Nefro")</f>
        <v>AE Propensity Analysis- IT-LUP-2500004 Nefro</v>
      </c>
      <c r="H325" s="3" t="s">
        <v>16</v>
      </c>
      <c r="I325" s="2" t="str">
        <f t="shared" si="49"/>
        <v>CRM Integration</v>
      </c>
    </row>
    <row r="326" spans="1:9" x14ac:dyDescent="0.2">
      <c r="A326" s="2" t="str">
        <f>HYPERLINK("https://otsuka-europe-crm.veevavault.com/ui/#object/multichannel_activity__v/V9V00000000B068", "MCA-000135619")</f>
        <v>MCA-000135619</v>
      </c>
      <c r="B326" s="3" t="s">
        <v>9</v>
      </c>
      <c r="C326" s="2" t="str">
        <f>HYPERLINK("https://otsuka-europe-crm.veevavault.com/ui/#object/sent_email__v/VBL00000000U508", "SE-001395056")</f>
        <v>SE-001395056</v>
      </c>
      <c r="D326" s="2" t="str">
        <f t="shared" si="50"/>
        <v>Matteo Di Gennaro</v>
      </c>
      <c r="E326" s="2" t="str">
        <f t="shared" si="51"/>
        <v>FRANCESCA TESTA</v>
      </c>
      <c r="F326" s="4">
        <v>45995.372233796297</v>
      </c>
      <c r="G326" s="2" t="str">
        <f>HYPERLINK("https://otsuka-europe-crm.veevavault.com/ui/#object/approved_document__v/V5OZ025E82RR47S", "AE Focus pz prevalenti- IT-LUP-2500005 Nefro")</f>
        <v>AE Focus pz prevalenti- IT-LUP-2500005 Nefro</v>
      </c>
      <c r="H326" s="3" t="s">
        <v>41</v>
      </c>
      <c r="I326" s="2" t="str">
        <f t="shared" si="49"/>
        <v>CRM Integration</v>
      </c>
    </row>
    <row r="327" spans="1:9" x14ac:dyDescent="0.2">
      <c r="A327" s="2" t="str">
        <f>HYPERLINK("https://otsuka-europe-crm.veevavault.com/ui/#object/multichannel_activity__v/V9V00000000B069", "MCA-000135620")</f>
        <v>MCA-000135620</v>
      </c>
      <c r="B327" s="3" t="s">
        <v>13</v>
      </c>
      <c r="C327" s="2" t="str">
        <f>HYPERLINK("https://otsuka-europe-crm.veevavault.com/ui/#object/sent_email__v/VBL00000000U507", "SE-001395055")</f>
        <v>SE-001395055</v>
      </c>
      <c r="D327" s="2" t="str">
        <f t="shared" si="50"/>
        <v>Matteo Di Gennaro</v>
      </c>
      <c r="E327" s="2" t="str">
        <f t="shared" si="51"/>
        <v>FRANCESCA TESTA</v>
      </c>
      <c r="F327" s="4">
        <v>45995.372233796297</v>
      </c>
      <c r="G327" s="2" t="str">
        <f>HYPERLINK("https://otsuka-europe-crm.veevavault.com/ui/#object/approved_document__v/V5OZ025E82RR47T", "AE Propensity Analysis- IT-LUP-2500004 Nefro")</f>
        <v>AE Propensity Analysis- IT-LUP-2500004 Nefro</v>
      </c>
      <c r="H327" s="3" t="s">
        <v>16</v>
      </c>
      <c r="I327" s="2" t="str">
        <f t="shared" si="49"/>
        <v>CRM Integration</v>
      </c>
    </row>
    <row r="328" spans="1:9" x14ac:dyDescent="0.2">
      <c r="A328" s="2" t="str">
        <f>HYPERLINK("https://otsuka-europe-crm.veevavault.com/ui/#object/multichannel_activity__v/V9V00000000C080", "MCA-000135621")</f>
        <v>MCA-000135621</v>
      </c>
      <c r="B328" s="3" t="s">
        <v>13</v>
      </c>
      <c r="C328" s="2" t="str">
        <f>HYPERLINK("https://otsuka-europe-crm.veevavault.com/ui/#object/sent_email__v/VBL00000000U508", "SE-001395056")</f>
        <v>SE-001395056</v>
      </c>
      <c r="D328" s="2" t="str">
        <f t="shared" si="50"/>
        <v>Matteo Di Gennaro</v>
      </c>
      <c r="E328" s="2" t="str">
        <f t="shared" si="51"/>
        <v>FRANCESCA TESTA</v>
      </c>
      <c r="F328" s="4">
        <v>45995.372233796297</v>
      </c>
      <c r="G328" s="2" t="str">
        <f>HYPERLINK("https://otsuka-europe-crm.veevavault.com/ui/#object/approved_document__v/V5OZ025E82RR47S", "AE Focus pz prevalenti- IT-LUP-2500005 Nefro")</f>
        <v>AE Focus pz prevalenti- IT-LUP-2500005 Nefro</v>
      </c>
      <c r="H328" s="3" t="s">
        <v>41</v>
      </c>
      <c r="I328" s="2" t="str">
        <f t="shared" si="49"/>
        <v>CRM Integration</v>
      </c>
    </row>
    <row r="329" spans="1:9" x14ac:dyDescent="0.2">
      <c r="A329" s="2" t="str">
        <f>HYPERLINK("https://otsuka-europe-crm.veevavault.com/ui/#object/multichannel_activity__v/V9V00000000B070", "MCA-000135622")</f>
        <v>MCA-000135622</v>
      </c>
      <c r="B329" s="3" t="s">
        <v>9</v>
      </c>
      <c r="C329" s="2" t="str">
        <f>HYPERLINK("https://otsuka-europe-crm.veevavault.com/ui/#object/sent_email__v/VBL00000000U509", "SE-001395058")</f>
        <v>SE-001395058</v>
      </c>
      <c r="D329" s="2" t="str">
        <f t="shared" si="50"/>
        <v>Matteo Di Gennaro</v>
      </c>
      <c r="E329" s="2" t="str">
        <f t="shared" si="51"/>
        <v>FRANCESCA TESTA</v>
      </c>
      <c r="F329" s="4">
        <v>45995.372337962966</v>
      </c>
      <c r="G329" s="2" t="str">
        <f>HYPERLINK("https://otsuka-europe-crm.veevavault.com/ui/#object/approved_document__v/V5OZ025E82RR480", "RTE Proteinuria C1 - IT-LUP-2500006 - Nephro")</f>
        <v>RTE Proteinuria C1 - IT-LUP-2500006 - Nephro</v>
      </c>
      <c r="H329" s="3" t="s">
        <v>18</v>
      </c>
      <c r="I329" s="2" t="str">
        <f t="shared" si="49"/>
        <v>CRM Integration</v>
      </c>
    </row>
    <row r="330" spans="1:9" x14ac:dyDescent="0.2">
      <c r="A330" s="2" t="str">
        <f>HYPERLINK("https://otsuka-europe-crm.veevavault.com/ui/#object/multichannel_activity__v/V9V00000000C081", "MCA-000135623")</f>
        <v>MCA-000135623</v>
      </c>
      <c r="B330" s="3" t="s">
        <v>13</v>
      </c>
      <c r="C330" s="2" t="str">
        <f>HYPERLINK("https://otsuka-europe-crm.veevavault.com/ui/#object/sent_email__v/VBL00000000U509", "SE-001395058")</f>
        <v>SE-001395058</v>
      </c>
      <c r="D330" s="2" t="str">
        <f t="shared" si="50"/>
        <v>Matteo Di Gennaro</v>
      </c>
      <c r="E330" s="2" t="str">
        <f t="shared" si="51"/>
        <v>FRANCESCA TESTA</v>
      </c>
      <c r="F330" s="4">
        <v>45995.372337962966</v>
      </c>
      <c r="G330" s="2" t="str">
        <f>HYPERLINK("https://otsuka-europe-crm.veevavault.com/ui/#object/approved_document__v/V5OZ025E82RR480", "RTE Proteinuria C1 - IT-LUP-2500006 - Nephro")</f>
        <v>RTE Proteinuria C1 - IT-LUP-2500006 - Nephro</v>
      </c>
      <c r="H330" s="3" t="s">
        <v>18</v>
      </c>
      <c r="I330" s="2" t="str">
        <f t="shared" si="49"/>
        <v>CRM Integration</v>
      </c>
    </row>
    <row r="331" spans="1:9" x14ac:dyDescent="0.2">
      <c r="A331" s="2" t="str">
        <f>HYPERLINK("https://otsuka-europe-crm.veevavault.com/ui/#object/multichannel_activity__v/V9V00000000B080", "MCA-000135640")</f>
        <v>MCA-000135640</v>
      </c>
      <c r="B331" s="3" t="s">
        <v>9</v>
      </c>
      <c r="C331" s="2" t="str">
        <f>HYPERLINK("https://otsuka-europe-crm.veevavault.com/ui/#object/sent_email__v/VBL00000000U544", "SE-001395109")</f>
        <v>SE-001395109</v>
      </c>
      <c r="D331" s="2" t="str">
        <f>HYPERLINK("https://otsuka-europe-crm.veevavault.com/ui/#object/user__sys/27667898", "SANTIAGO SECO")</f>
        <v>SANTIAGO SECO</v>
      </c>
      <c r="E331" s="2" t="str">
        <f>HYPERLINK("https://otsuka-europe-crm.veevavault.com/ui/#object/account__v/V4TZ06G6O71T795", "NEREIDA BAUTISTA CARRERAS")</f>
        <v>NEREIDA BAUTISTA CARRERAS</v>
      </c>
      <c r="F331" s="4">
        <v>45995.436585648145</v>
      </c>
      <c r="G331" s="2" t="str">
        <f>HYPERLINK("https://otsuka-europe-crm.veevavault.com/ui/#object/approved_document__v/V5O00000000A066", "RXULTI - Vídeo Isabel Hernández - RXULTI, nueva alternativa para adolescentes con esquizofrenia")</f>
        <v>RXULTI - Vídeo Isabel Hernández - RXULTI, nueva alternativa para adolescentes con esquizofrenia</v>
      </c>
      <c r="H331" s="3" t="s">
        <v>40</v>
      </c>
      <c r="I331" s="2" t="str">
        <f t="shared" si="49"/>
        <v>CRM Integration</v>
      </c>
    </row>
    <row r="332" spans="1:9" x14ac:dyDescent="0.2">
      <c r="A332" s="2" t="str">
        <f>HYPERLINK("https://otsuka-europe-crm.veevavault.com/ui/#object/multichannel_activity__v/V9V00000000D002", "MCA-000135647")</f>
        <v>MCA-000135647</v>
      </c>
      <c r="B332" s="3" t="s">
        <v>9</v>
      </c>
      <c r="C332" s="2" t="str">
        <f>HYPERLINK("https://otsuka-europe-crm.veevavault.com/ui/#object/sent_email__v/VBL00000000U733", "SE-001395298")</f>
        <v>SE-001395298</v>
      </c>
      <c r="D332" s="2" t="str">
        <f>HYPERLINK("https://otsuka-europe-crm.veevavault.com/ui/#object/user__sys/27667980", "Alfredo Pisapia")</f>
        <v>Alfredo Pisapia</v>
      </c>
      <c r="E332" s="2" t="str">
        <f>HYPERLINK("https://otsuka-europe-crm.veevavault.com/ui/#object/account__v/V4TZ06G6O71SCF4", "GIUSEPPE SEMINARA")</f>
        <v>GIUSEPPE SEMINARA</v>
      </c>
      <c r="F332" s="4">
        <v>45995.439733796295</v>
      </c>
      <c r="G332" s="2" t="str">
        <f>HYPERLINK("https://otsuka-europe-crm.veevavault.com/ui/#object/approved_document__v/V5OZ025E82S0X55", "LUPKYNIS_Branded_ studio Palmer - IT-LUP-2500010-Nephrology")</f>
        <v>LUPKYNIS_Branded_ studio Palmer - IT-LUP-2500010-Nephrology</v>
      </c>
      <c r="H332" s="3" t="s">
        <v>20</v>
      </c>
      <c r="I332" s="2" t="str">
        <f t="shared" si="49"/>
        <v>CRM Integration</v>
      </c>
    </row>
    <row r="333" spans="1:9" x14ac:dyDescent="0.2">
      <c r="A333" s="2" t="str">
        <f>HYPERLINK("https://otsuka-europe-crm.veevavault.com/ui/#object/multichannel_activity__v/V9V00000000E003", "MCA-000135648")</f>
        <v>MCA-000135648</v>
      </c>
      <c r="B333" s="3" t="s">
        <v>9</v>
      </c>
      <c r="C333" s="2" t="str">
        <f>HYPERLINK("https://otsuka-europe-crm.veevavault.com/ui/#object/sent_email__v/VBL00000000U733", "SE-001395298")</f>
        <v>SE-001395298</v>
      </c>
      <c r="D333" s="2" t="str">
        <f>HYPERLINK("https://otsuka-europe-crm.veevavault.com/ui/#object/user__sys/27667980", "Alfredo Pisapia")</f>
        <v>Alfredo Pisapia</v>
      </c>
      <c r="E333" s="2" t="str">
        <f>HYPERLINK("https://otsuka-europe-crm.veevavault.com/ui/#object/account__v/V4TZ06G6O71SCF4", "GIUSEPPE SEMINARA")</f>
        <v>GIUSEPPE SEMINARA</v>
      </c>
      <c r="F333" s="4">
        <v>45995.439733796295</v>
      </c>
      <c r="G333" s="2" t="str">
        <f>HYPERLINK("https://otsuka-europe-crm.veevavault.com/ui/#object/approved_document__v/V5OZ025E82S0X55", "LUPKYNIS_Branded_ studio Palmer - IT-LUP-2500010-Nephrology")</f>
        <v>LUPKYNIS_Branded_ studio Palmer - IT-LUP-2500010-Nephrology</v>
      </c>
      <c r="H333" s="3" t="s">
        <v>20</v>
      </c>
      <c r="I333" s="2" t="str">
        <f t="shared" si="49"/>
        <v>CRM Integration</v>
      </c>
    </row>
    <row r="334" spans="1:9" x14ac:dyDescent="0.2">
      <c r="A334" s="2" t="str">
        <f>HYPERLINK("https://otsuka-europe-crm.veevavault.com/ui/#object/multichannel_activity__v/V9V00000000D013", "MCA-000135667")</f>
        <v>MCA-000135667</v>
      </c>
      <c r="B334" s="3" t="s">
        <v>9</v>
      </c>
      <c r="C334" s="2" t="str">
        <f>HYPERLINK("https://otsuka-europe-crm.veevavault.com/ui/#object/sent_email__v/VBL00000000W085", "SE-001395793")</f>
        <v>SE-001395793</v>
      </c>
      <c r="D334" s="2" t="str">
        <f>HYPERLINK("https://otsuka-europe-crm.veevavault.com/ui/#object/user__sys/27667854", "Armin Lieb")</f>
        <v>Armin Lieb</v>
      </c>
      <c r="E334" s="2" t="str">
        <f>HYPERLINK("https://otsuka-europe-crm.veevavault.com/ui/#object/account__v/V4TZ000006352IF", "Rudolf Pihusch")</f>
        <v>Rudolf Pihusch</v>
      </c>
      <c r="F334" s="4">
        <v>45999.539513888885</v>
      </c>
      <c r="G334" s="2" t="str">
        <f>HYPERLINK("https://otsuka-europe-crm.veevavault.com/ui/#object/approved_document__v/V5O00000000A069", "INA VAE DE - Infektionsrisiko (Entlastung Sorge bei AML-Patienten)")</f>
        <v>INA VAE DE - Infektionsrisiko (Entlastung Sorge bei AML-Patienten)</v>
      </c>
      <c r="H334" s="3" t="s">
        <v>42</v>
      </c>
      <c r="I334" s="2" t="str">
        <f t="shared" si="49"/>
        <v>CRM Integration</v>
      </c>
    </row>
    <row r="335" spans="1:9" x14ac:dyDescent="0.2">
      <c r="A335" s="2" t="str">
        <f>HYPERLINK("https://otsuka-europe-crm.veevavault.com/ui/#object/multichannel_activity__v/V9V00000000E012", "MCA-000135668")</f>
        <v>MCA-000135668</v>
      </c>
      <c r="B335" s="3" t="s">
        <v>13</v>
      </c>
      <c r="C335" s="2" t="str">
        <f>HYPERLINK("https://otsuka-europe-crm.veevavault.com/ui/#object/sent_email__v/VBL00000000W085", "SE-001395793")</f>
        <v>SE-001395793</v>
      </c>
      <c r="D335" s="2" t="str">
        <f>HYPERLINK("https://otsuka-europe-crm.veevavault.com/ui/#object/user__sys/27667854", "Armin Lieb")</f>
        <v>Armin Lieb</v>
      </c>
      <c r="E335" s="2" t="str">
        <f>HYPERLINK("https://otsuka-europe-crm.veevavault.com/ui/#object/account__v/V4TZ000006352IF", "Rudolf Pihusch")</f>
        <v>Rudolf Pihusch</v>
      </c>
      <c r="F335" s="4">
        <v>45999.539513888885</v>
      </c>
      <c r="G335" s="2" t="str">
        <f>HYPERLINK("https://otsuka-europe-crm.veevavault.com/ui/#object/approved_document__v/V5O00000000A069", "INA VAE DE - Infektionsrisiko (Entlastung Sorge bei AML-Patienten)")</f>
        <v>INA VAE DE - Infektionsrisiko (Entlastung Sorge bei AML-Patienten)</v>
      </c>
      <c r="H335" s="3" t="s">
        <v>42</v>
      </c>
      <c r="I335" s="2" t="str">
        <f t="shared" si="49"/>
        <v>CRM Integration</v>
      </c>
    </row>
    <row r="336" spans="1:9" x14ac:dyDescent="0.2">
      <c r="A336" s="2" t="str">
        <f>HYPERLINK("https://otsuka-europe-crm.veevavault.com/ui/#object/multichannel_activity__v/V9V00000000H002", "MCA-000135709")</f>
        <v>MCA-000135709</v>
      </c>
      <c r="B336" s="3" t="s">
        <v>9</v>
      </c>
      <c r="C336" s="2" t="str">
        <f>HYPERLINK("https://otsuka-europe-crm.veevavault.com/ui/#object/sent_email__v/VBL000000010018", "SE-001396630")</f>
        <v>SE-001396630</v>
      </c>
      <c r="D336" s="2" t="str">
        <f>HYPERLINK("https://otsuka-europe-crm.veevavault.com/ui/#object/user__sys/23336909", "Julia Guri Rios")</f>
        <v>Julia Guri Rios</v>
      </c>
      <c r="E336" s="2" t="str">
        <f>HYPERLINK("https://otsuka-europe-crm.veevavault.com/ui/#object/account__v/V4TZ06G6OA5WQFG", "TEST OPSA HCP TEST OPSA HCP")</f>
        <v>TEST OPSA HCP TEST OPSA HCP</v>
      </c>
      <c r="F336" s="4">
        <v>46006.324861111112</v>
      </c>
      <c r="G336" s="2" t="str">
        <f>HYPERLINK("https://otsuka-europe-crm.veevavault.com/ui/#object/approved_document__v/V5O00000000H031", "LUP - 10 cuestiones para pensar: Score Pronóstico - nefro")</f>
        <v>LUP - 10 cuestiones para pensar: Score Pronóstico - nefro</v>
      </c>
      <c r="H336" s="3" t="s">
        <v>43</v>
      </c>
      <c r="I336" s="2" t="str">
        <f t="shared" si="49"/>
        <v>CRM Integration</v>
      </c>
    </row>
    <row r="337" spans="1:9" x14ac:dyDescent="0.2">
      <c r="A337" s="2" t="str">
        <f>HYPERLINK("https://otsuka-europe-crm.veevavault.com/ui/#object/multichannel_activity__v/V9V00000000H003", "MCA-000135710")</f>
        <v>MCA-000135710</v>
      </c>
      <c r="B337" s="3" t="s">
        <v>13</v>
      </c>
      <c r="C337" s="2" t="str">
        <f>HYPERLINK("https://otsuka-europe-crm.veevavault.com/ui/#object/sent_email__v/VBL000000010018", "SE-001396630")</f>
        <v>SE-001396630</v>
      </c>
      <c r="D337" s="2" t="str">
        <f>HYPERLINK("https://otsuka-europe-crm.veevavault.com/ui/#object/user__sys/23336909", "Julia Guri Rios")</f>
        <v>Julia Guri Rios</v>
      </c>
      <c r="E337" s="2" t="str">
        <f>HYPERLINK("https://otsuka-europe-crm.veevavault.com/ui/#object/account__v/V4TZ06G6OA5WQFG", "TEST OPSA HCP TEST OPSA HCP")</f>
        <v>TEST OPSA HCP TEST OPSA HCP</v>
      </c>
      <c r="F337" s="4">
        <v>46006.324861111112</v>
      </c>
      <c r="G337" s="2" t="str">
        <f>HYPERLINK("https://otsuka-europe-crm.veevavault.com/ui/#object/approved_document__v/V5O00000000H031", "LUP - 10 cuestiones para pensar: Score Pronóstico - nefro")</f>
        <v>LUP - 10 cuestiones para pensar: Score Pronóstico - nefro</v>
      </c>
      <c r="H337" s="3" t="s">
        <v>43</v>
      </c>
      <c r="I337" s="2" t="str">
        <f t="shared" si="49"/>
        <v>CRM Integration</v>
      </c>
    </row>
    <row r="338" spans="1:9" x14ac:dyDescent="0.2">
      <c r="A338" s="2" t="str">
        <f>HYPERLINK("https://otsuka-europe-crm.veevavault.com/ui/#object/multichannel_activity__v/V9V00000000H026", "MCA-000135764")</f>
        <v>MCA-000135764</v>
      </c>
      <c r="B338" s="3" t="s">
        <v>9</v>
      </c>
      <c r="C338" s="2" t="str">
        <f>HYPERLINK("https://otsuka-europe-crm.veevavault.com/ui/#object/sent_email__v/VBL000000011191", "SE-001396898")</f>
        <v>SE-001396898</v>
      </c>
      <c r="D338" s="2" t="str">
        <f>HYPERLINK("https://otsuka-europe-crm.veevavault.com/ui/#object/user__sys/27667754", "CESAR VILA")</f>
        <v>CESAR VILA</v>
      </c>
      <c r="E338" s="2" t="str">
        <f>HYPERLINK("https://otsuka-europe-crm.veevavault.com/ui/#object/account__v/V4TZ06G6O71TAVM", "LUIS LEON ALLUE")</f>
        <v>LUIS LEON ALLUE</v>
      </c>
      <c r="F338" s="4">
        <v>46007.346759259257</v>
      </c>
      <c r="G338" s="2" t="str">
        <f>HYPERLINK("https://otsuka-europe-crm.veevavault.com/ui/#object/approved_document__v/V5OZ025E82UXXXH", "AM2M - PSIQUIATRÍA - Eficacia desde el primer día (Fagiolini)")</f>
        <v>AM2M - PSIQUIATRÍA - Eficacia desde el primer día (Fagiolini)</v>
      </c>
      <c r="H338" s="3" t="s">
        <v>34</v>
      </c>
      <c r="I338" s="2" t="str">
        <f t="shared" si="49"/>
        <v>CRM Integration</v>
      </c>
    </row>
    <row r="339" spans="1:9" x14ac:dyDescent="0.2">
      <c r="A339" s="2" t="str">
        <f>HYPERLINK("https://otsuka-europe-crm.veevavault.com/ui/#object/multichannel_activity__v/V9V00000000H030", "MCA-000135772")</f>
        <v>MCA-000135772</v>
      </c>
      <c r="B339" s="3" t="s">
        <v>13</v>
      </c>
      <c r="C339" s="2" t="str">
        <f>HYPERLINK("https://otsuka-europe-crm.veevavault.com/ui/#object/sent_email__v/VBL000000011604", "SE-001397395")</f>
        <v>SE-001397395</v>
      </c>
      <c r="D339" s="2" t="str">
        <f>HYPERLINK("https://otsuka-europe-crm.veevavault.com/ui/#object/user__sys/27668008", "KARIM AHAYTOUR")</f>
        <v>KARIM AHAYTOUR</v>
      </c>
      <c r="E339" s="2" t="str">
        <f>HYPERLINK("https://otsuka-europe-crm.veevavault.com/ui/#object/account__v/V4TZ06G6O71T8D6", "RAQUEL ESTERAS RUBIO")</f>
        <v>RAQUEL ESTERAS RUBIO</v>
      </c>
      <c r="F339" s="4">
        <v>46008.470937500002</v>
      </c>
      <c r="G339" s="2" t="str">
        <f>HYPERLINK("https://otsuka-europe-crm.veevavault.com/ui/#object/approved_document__v/V5O00000000H060", "LUP - 10 cuestiones para pensar: Score Pronóstico - nefro")</f>
        <v>LUP - 10 cuestiones para pensar: Score Pronóstico - nefro</v>
      </c>
      <c r="H339" s="3" t="s">
        <v>43</v>
      </c>
      <c r="I339" s="2" t="str">
        <f t="shared" si="49"/>
        <v>CRM Integration</v>
      </c>
    </row>
    <row r="340" spans="1:9" x14ac:dyDescent="0.2">
      <c r="A340" s="2" t="str">
        <f>HYPERLINK("https://otsuka-europe-crm.veevavault.com/ui/#object/multichannel_activity__v/V9V00000000I042", "MCA-000135780")</f>
        <v>MCA-000135780</v>
      </c>
      <c r="B340" s="3" t="s">
        <v>9</v>
      </c>
      <c r="C340" s="2" t="str">
        <f>HYPERLINK("https://otsuka-europe-crm.veevavault.com/ui/#object/sent_email__v/VBL000000011194", "SE-001396901")</f>
        <v>SE-001396901</v>
      </c>
      <c r="D340" s="2" t="str">
        <f>HYPERLINK("https://otsuka-europe-crm.veevavault.com/ui/#object/user__sys/27667754", "CESAR VILA")</f>
        <v>CESAR VILA</v>
      </c>
      <c r="E340" s="2" t="str">
        <f>HYPERLINK("https://otsuka-europe-crm.veevavault.com/ui/#object/account__v/V4TZ06G6O71TBLW", "ROBERTO PEREZ ASENJO")</f>
        <v>ROBERTO PEREZ ASENJO</v>
      </c>
      <c r="F340" s="4">
        <v>46007.346863425926</v>
      </c>
      <c r="G340" s="2" t="str">
        <f>HYPERLINK("https://otsuka-europe-crm.veevavault.com/ui/#object/approved_document__v/V5OZ025E82UXXXH", "AM2M - PSIQUIATRÍA - Eficacia desde el primer día (Fagiolini)")</f>
        <v>AM2M - PSIQUIATRÍA - Eficacia desde el primer día (Fagiolini)</v>
      </c>
      <c r="H340" s="3" t="s">
        <v>34</v>
      </c>
      <c r="I340" s="2" t="str">
        <f t="shared" si="49"/>
        <v>CRM Integration</v>
      </c>
    </row>
    <row r="341" spans="1:9" x14ac:dyDescent="0.2">
      <c r="A341" s="2" t="str">
        <f>HYPERLINK("https://otsuka-europe-crm.veevavault.com/ui/#object/multichannel_activity__v/V9V00000000H032", "MCA-000135781")</f>
        <v>MCA-000135781</v>
      </c>
      <c r="B341" s="3" t="s">
        <v>9</v>
      </c>
      <c r="C341" s="2" t="str">
        <f>HYPERLINK("https://otsuka-europe-crm.veevavault.com/ui/#object/sent_email__v/VBL000000011194", "SE-001396901")</f>
        <v>SE-001396901</v>
      </c>
      <c r="D341" s="2" t="str">
        <f>HYPERLINK("https://otsuka-europe-crm.veevavault.com/ui/#object/user__sys/27667754", "CESAR VILA")</f>
        <v>CESAR VILA</v>
      </c>
      <c r="E341" s="2" t="str">
        <f>HYPERLINK("https://otsuka-europe-crm.veevavault.com/ui/#object/account__v/V4TZ06G6O71TBLW", "ROBERTO PEREZ ASENJO")</f>
        <v>ROBERTO PEREZ ASENJO</v>
      </c>
      <c r="F341" s="4">
        <v>46007.346863425926</v>
      </c>
      <c r="G341" s="2" t="str">
        <f>HYPERLINK("https://otsuka-europe-crm.veevavault.com/ui/#object/approved_document__v/V5OZ025E82UXXXH", "AM2M - PSIQUIATRÍA - Eficacia desde el primer día (Fagiolini)")</f>
        <v>AM2M - PSIQUIATRÍA - Eficacia desde el primer día (Fagiolini)</v>
      </c>
      <c r="H341" s="3" t="s">
        <v>34</v>
      </c>
      <c r="I341" s="2" t="str">
        <f t="shared" si="49"/>
        <v>CRM Integration</v>
      </c>
    </row>
    <row r="342" spans="1:9" x14ac:dyDescent="0.2">
      <c r="A342" s="2" t="str">
        <f>HYPERLINK("https://otsuka-europe-crm.veevavault.com/ui/#object/multichannel_activity__v/V9V00000000I044", "MCA-000135782")</f>
        <v>MCA-000135782</v>
      </c>
      <c r="B342" s="3" t="s">
        <v>9</v>
      </c>
      <c r="C342" s="2" t="str">
        <f>HYPERLINK("https://otsuka-europe-crm.veevavault.com/ui/#object/sent_email__v/VBL000000011194", "SE-001396901")</f>
        <v>SE-001396901</v>
      </c>
      <c r="D342" s="2" t="str">
        <f>HYPERLINK("https://otsuka-europe-crm.veevavault.com/ui/#object/user__sys/27667754", "CESAR VILA")</f>
        <v>CESAR VILA</v>
      </c>
      <c r="E342" s="2" t="str">
        <f>HYPERLINK("https://otsuka-europe-crm.veevavault.com/ui/#object/account__v/V4TZ06G6O71TBLW", "ROBERTO PEREZ ASENJO")</f>
        <v>ROBERTO PEREZ ASENJO</v>
      </c>
      <c r="F342" s="4">
        <v>46007.346863425926</v>
      </c>
      <c r="G342" s="2" t="str">
        <f>HYPERLINK("https://otsuka-europe-crm.veevavault.com/ui/#object/approved_document__v/V5OZ025E82UXXXH", "AM2M - PSIQUIATRÍA - Eficacia desde el primer día (Fagiolini)")</f>
        <v>AM2M - PSIQUIATRÍA - Eficacia desde el primer día (Fagiolini)</v>
      </c>
      <c r="H342" s="3" t="s">
        <v>34</v>
      </c>
      <c r="I342" s="2" t="str">
        <f t="shared" si="49"/>
        <v>CRM Integration</v>
      </c>
    </row>
    <row r="343" spans="1:9" x14ac:dyDescent="0.2">
      <c r="A343" s="2" t="str">
        <f>HYPERLINK("https://otsuka-europe-crm.veevavault.com/ui/#object/multichannel_activity__v/V9V00000000I043", "MCA-000135783")</f>
        <v>MCA-000135783</v>
      </c>
      <c r="B343" s="3" t="s">
        <v>9</v>
      </c>
      <c r="C343" s="2" t="str">
        <f>HYPERLINK("https://otsuka-europe-crm.veevavault.com/ui/#object/sent_email__v/VBL000000011194", "SE-001396901")</f>
        <v>SE-001396901</v>
      </c>
      <c r="D343" s="2" t="str">
        <f>HYPERLINK("https://otsuka-europe-crm.veevavault.com/ui/#object/user__sys/27667754", "CESAR VILA")</f>
        <v>CESAR VILA</v>
      </c>
      <c r="E343" s="2" t="str">
        <f>HYPERLINK("https://otsuka-europe-crm.veevavault.com/ui/#object/account__v/V4TZ06G6O71TBLW", "ROBERTO PEREZ ASENJO")</f>
        <v>ROBERTO PEREZ ASENJO</v>
      </c>
      <c r="F343" s="4">
        <v>46007.346863425926</v>
      </c>
      <c r="G343" s="2" t="str">
        <f>HYPERLINK("https://otsuka-europe-crm.veevavault.com/ui/#object/approved_document__v/V5OZ025E82UXXXH", "AM2M - PSIQUIATRÍA - Eficacia desde el primer día (Fagiolini)")</f>
        <v>AM2M - PSIQUIATRÍA - Eficacia desde el primer día (Fagiolini)</v>
      </c>
      <c r="H343" s="3" t="s">
        <v>34</v>
      </c>
      <c r="I343" s="2" t="str">
        <f t="shared" si="49"/>
        <v>CRM Integration</v>
      </c>
    </row>
    <row r="344" spans="1:9" x14ac:dyDescent="0.2">
      <c r="A344" s="2" t="str">
        <f>HYPERLINK("https://otsuka-europe-crm.veevavault.com/ui/#object/multichannel_activity__v/V9V00000000J009", "MCA-000135807")</f>
        <v>MCA-000135807</v>
      </c>
      <c r="B344" s="3" t="s">
        <v>9</v>
      </c>
      <c r="C344" s="2" t="str">
        <f>HYPERLINK("https://otsuka-europe-crm.veevavault.com/ui/#object/sent_email__v/VBL000000013773", "SE-001399203")</f>
        <v>SE-001399203</v>
      </c>
      <c r="D344" s="2" t="str">
        <f>HYPERLINK("https://otsuka-europe-crm.veevavault.com/ui/#object/user__sys/27667848", "Sabine Kiefer")</f>
        <v>Sabine Kiefer</v>
      </c>
      <c r="E344" s="2" t="str">
        <f>HYPERLINK("https://otsuka-europe-crm.veevavault.com/ui/#object/account__v/V4TZ0000062T5WM", "Yon-Dschun Ko")</f>
        <v>Yon-Dschun Ko</v>
      </c>
      <c r="F344" s="4">
        <v>46027.666273148148</v>
      </c>
      <c r="G344" s="2" t="str">
        <f t="shared" ref="G344:G351" si="52">HYPERLINK("https://otsuka-europe-crm.veevavault.com/ui/#object/approved_document__v/V5O00000000A069", "INA VAE DE - Infektionsrisiko (Entlastung Sorge bei AML-Patienten)")</f>
        <v>INA VAE DE - Infektionsrisiko (Entlastung Sorge bei AML-Patienten)</v>
      </c>
      <c r="H344" s="3" t="s">
        <v>42</v>
      </c>
      <c r="I344" s="2" t="str">
        <f t="shared" si="49"/>
        <v>CRM Integration</v>
      </c>
    </row>
    <row r="345" spans="1:9" x14ac:dyDescent="0.2">
      <c r="A345" s="2" t="str">
        <f>HYPERLINK("https://otsuka-europe-crm.veevavault.com/ui/#object/multichannel_activity__v/V9V00000000K014", "MCA-000135808")</f>
        <v>MCA-000135808</v>
      </c>
      <c r="B345" s="3" t="s">
        <v>13</v>
      </c>
      <c r="C345" s="2" t="str">
        <f>HYPERLINK("https://otsuka-europe-crm.veevavault.com/ui/#object/sent_email__v/VBL000000013773", "SE-001399203")</f>
        <v>SE-001399203</v>
      </c>
      <c r="D345" s="2" t="str">
        <f>HYPERLINK("https://otsuka-europe-crm.veevavault.com/ui/#object/user__sys/27667848", "Sabine Kiefer")</f>
        <v>Sabine Kiefer</v>
      </c>
      <c r="E345" s="2" t="str">
        <f>HYPERLINK("https://otsuka-europe-crm.veevavault.com/ui/#object/account__v/V4TZ0000062T5WM", "Yon-Dschun Ko")</f>
        <v>Yon-Dschun Ko</v>
      </c>
      <c r="F345" s="4">
        <v>46027.666273148148</v>
      </c>
      <c r="G345" s="2" t="str">
        <f t="shared" si="52"/>
        <v>INA VAE DE - Infektionsrisiko (Entlastung Sorge bei AML-Patienten)</v>
      </c>
      <c r="H345" s="3" t="s">
        <v>42</v>
      </c>
      <c r="I345" s="2" t="str">
        <f t="shared" si="49"/>
        <v>CRM Integration</v>
      </c>
    </row>
    <row r="346" spans="1:9" x14ac:dyDescent="0.2">
      <c r="A346" s="2" t="str">
        <f>HYPERLINK("https://otsuka-europe-crm.veevavault.com/ui/#object/multichannel_activity__v/V9V00000000K015", "MCA-000135809")</f>
        <v>MCA-000135809</v>
      </c>
      <c r="B346" s="3" t="s">
        <v>13</v>
      </c>
      <c r="C346" s="2" t="str">
        <f>HYPERLINK("https://otsuka-europe-crm.veevavault.com/ui/#object/sent_email__v/VBL000000013773", "SE-001399203")</f>
        <v>SE-001399203</v>
      </c>
      <c r="D346" s="2" t="str">
        <f>HYPERLINK("https://otsuka-europe-crm.veevavault.com/ui/#object/user__sys/27667848", "Sabine Kiefer")</f>
        <v>Sabine Kiefer</v>
      </c>
      <c r="E346" s="2" t="str">
        <f>HYPERLINK("https://otsuka-europe-crm.veevavault.com/ui/#object/account__v/V4TZ0000062T5WM", "Yon-Dschun Ko")</f>
        <v>Yon-Dschun Ko</v>
      </c>
      <c r="F346" s="4">
        <v>46027.666273148148</v>
      </c>
      <c r="G346" s="2" t="str">
        <f t="shared" si="52"/>
        <v>INA VAE DE - Infektionsrisiko (Entlastung Sorge bei AML-Patienten)</v>
      </c>
      <c r="H346" s="3" t="s">
        <v>42</v>
      </c>
      <c r="I346" s="2" t="str">
        <f t="shared" si="49"/>
        <v>CRM Integration</v>
      </c>
    </row>
    <row r="347" spans="1:9" x14ac:dyDescent="0.2">
      <c r="A347" s="2" t="str">
        <f>HYPERLINK("https://otsuka-europe-crm.veevavault.com/ui/#object/multichannel_activity__v/V9V00000000K016", "MCA-000135810")</f>
        <v>MCA-000135810</v>
      </c>
      <c r="B347" s="3" t="s">
        <v>9</v>
      </c>
      <c r="C347" s="2" t="str">
        <f>HYPERLINK("https://otsuka-europe-crm.veevavault.com/ui/#object/sent_email__v/VBL000000013773", "SE-001399203")</f>
        <v>SE-001399203</v>
      </c>
      <c r="D347" s="2" t="str">
        <f>HYPERLINK("https://otsuka-europe-crm.veevavault.com/ui/#object/user__sys/27667848", "Sabine Kiefer")</f>
        <v>Sabine Kiefer</v>
      </c>
      <c r="E347" s="2" t="str">
        <f>HYPERLINK("https://otsuka-europe-crm.veevavault.com/ui/#object/account__v/V4TZ0000062T5WM", "Yon-Dschun Ko")</f>
        <v>Yon-Dschun Ko</v>
      </c>
      <c r="F347" s="4">
        <v>46027.666273148148</v>
      </c>
      <c r="G347" s="2" t="str">
        <f t="shared" si="52"/>
        <v>INA VAE DE - Infektionsrisiko (Entlastung Sorge bei AML-Patienten)</v>
      </c>
      <c r="H347" s="3" t="s">
        <v>42</v>
      </c>
      <c r="I347" s="2" t="str">
        <f t="shared" si="49"/>
        <v>CRM Integration</v>
      </c>
    </row>
    <row r="348" spans="1:9" x14ac:dyDescent="0.2">
      <c r="A348" s="2" t="str">
        <f>HYPERLINK("https://otsuka-europe-crm.veevavault.com/ui/#object/multichannel_activity__v/V9V00000000K017", "MCA-000135812")</f>
        <v>MCA-000135812</v>
      </c>
      <c r="B348" s="3" t="s">
        <v>9</v>
      </c>
      <c r="C348" s="2" t="str">
        <f>HYPERLINK("https://otsuka-europe-crm.veevavault.com/ui/#object/sent_email__v/VBL000000012617", "SE-001399231")</f>
        <v>SE-001399231</v>
      </c>
      <c r="D348" s="2" t="str">
        <f>HYPERLINK("https://otsuka-europe-crm.veevavault.com/ui/#object/user__sys/27667858", "Diana Spreda")</f>
        <v>Diana Spreda</v>
      </c>
      <c r="E348" s="2" t="str">
        <f>HYPERLINK("https://otsuka-europe-crm.veevavault.com/ui/#object/account__v/V4TZ06G6OBI6B84", "Anke Reichardt")</f>
        <v>Anke Reichardt</v>
      </c>
      <c r="F348" s="4">
        <v>46028.409837962965</v>
      </c>
      <c r="G348" s="2" t="str">
        <f t="shared" si="52"/>
        <v>INA VAE DE - Infektionsrisiko (Entlastung Sorge bei AML-Patienten)</v>
      </c>
      <c r="H348" s="3" t="s">
        <v>42</v>
      </c>
      <c r="I348" s="2" t="str">
        <f t="shared" si="49"/>
        <v>CRM Integration</v>
      </c>
    </row>
    <row r="349" spans="1:9" x14ac:dyDescent="0.2">
      <c r="A349" s="2" t="str">
        <f>HYPERLINK("https://otsuka-europe-crm.veevavault.com/ui/#object/multichannel_activity__v/V9V00000000J011", "MCA-000135813")</f>
        <v>MCA-000135813</v>
      </c>
      <c r="B349" s="3" t="s">
        <v>9</v>
      </c>
      <c r="C349" s="2" t="str">
        <f>HYPERLINK("https://otsuka-europe-crm.veevavault.com/ui/#object/sent_email__v/VBL000000012617", "SE-001399231")</f>
        <v>SE-001399231</v>
      </c>
      <c r="D349" s="2" t="str">
        <f>HYPERLINK("https://otsuka-europe-crm.veevavault.com/ui/#object/user__sys/27667858", "Diana Spreda")</f>
        <v>Diana Spreda</v>
      </c>
      <c r="E349" s="2" t="str">
        <f>HYPERLINK("https://otsuka-europe-crm.veevavault.com/ui/#object/account__v/V4TZ06G6OBI6B84", "Anke Reichardt")</f>
        <v>Anke Reichardt</v>
      </c>
      <c r="F349" s="4">
        <v>46028.409837962965</v>
      </c>
      <c r="G349" s="2" t="str">
        <f t="shared" si="52"/>
        <v>INA VAE DE - Infektionsrisiko (Entlastung Sorge bei AML-Patienten)</v>
      </c>
      <c r="H349" s="3" t="s">
        <v>42</v>
      </c>
      <c r="I349" s="2" t="str">
        <f t="shared" si="49"/>
        <v>CRM Integration</v>
      </c>
    </row>
    <row r="350" spans="1:9" x14ac:dyDescent="0.2">
      <c r="A350" s="2" t="str">
        <f>HYPERLINK("https://otsuka-europe-crm.veevavault.com/ui/#object/multichannel_activity__v/V9V00000000J012", "MCA-000135814")</f>
        <v>MCA-000135814</v>
      </c>
      <c r="B350" s="3" t="s">
        <v>13</v>
      </c>
      <c r="C350" s="2" t="str">
        <f>HYPERLINK("https://otsuka-europe-crm.veevavault.com/ui/#object/sent_email__v/VBL000000012617", "SE-001399231")</f>
        <v>SE-001399231</v>
      </c>
      <c r="D350" s="2" t="str">
        <f>HYPERLINK("https://otsuka-europe-crm.veevavault.com/ui/#object/user__sys/27667858", "Diana Spreda")</f>
        <v>Diana Spreda</v>
      </c>
      <c r="E350" s="2" t="str">
        <f>HYPERLINK("https://otsuka-europe-crm.veevavault.com/ui/#object/account__v/V4TZ06G6OBI6B84", "Anke Reichardt")</f>
        <v>Anke Reichardt</v>
      </c>
      <c r="F350" s="4">
        <v>46028.409837962965</v>
      </c>
      <c r="G350" s="2" t="str">
        <f t="shared" si="52"/>
        <v>INA VAE DE - Infektionsrisiko (Entlastung Sorge bei AML-Patienten)</v>
      </c>
      <c r="H350" s="3" t="s">
        <v>42</v>
      </c>
      <c r="I350" s="2" t="str">
        <f t="shared" si="49"/>
        <v>CRM Integration</v>
      </c>
    </row>
    <row r="351" spans="1:9" x14ac:dyDescent="0.2">
      <c r="A351" s="2" t="str">
        <f>HYPERLINK("https://otsuka-europe-crm.veevavault.com/ui/#object/multichannel_activity__v/V9V00000000J013", "MCA-000135815")</f>
        <v>MCA-000135815</v>
      </c>
      <c r="B351" s="3" t="s">
        <v>13</v>
      </c>
      <c r="C351" s="2" t="str">
        <f>HYPERLINK("https://otsuka-europe-crm.veevavault.com/ui/#object/sent_email__v/VBL000000012617", "SE-001399231")</f>
        <v>SE-001399231</v>
      </c>
      <c r="D351" s="2" t="str">
        <f>HYPERLINK("https://otsuka-europe-crm.veevavault.com/ui/#object/user__sys/27667858", "Diana Spreda")</f>
        <v>Diana Spreda</v>
      </c>
      <c r="E351" s="2" t="str">
        <f>HYPERLINK("https://otsuka-europe-crm.veevavault.com/ui/#object/account__v/V4TZ06G6OBI6B84", "Anke Reichardt")</f>
        <v>Anke Reichardt</v>
      </c>
      <c r="F351" s="4">
        <v>46028.409837962965</v>
      </c>
      <c r="G351" s="2" t="str">
        <f t="shared" si="52"/>
        <v>INA VAE DE - Infektionsrisiko (Entlastung Sorge bei AML-Patienten)</v>
      </c>
      <c r="H351" s="3" t="s">
        <v>42</v>
      </c>
      <c r="I351" s="2" t="str">
        <f t="shared" si="49"/>
        <v>CRM Integration</v>
      </c>
    </row>
    <row r="352" spans="1:9" x14ac:dyDescent="0.2">
      <c r="A352" s="2" t="str">
        <f>HYPERLINK("https://otsuka-europe-crm.veevavault.com/ui/#object/multichannel_activity__v/V9V00000000K068", "MCA-000135908")</f>
        <v>MCA-000135908</v>
      </c>
      <c r="B352" s="3" t="s">
        <v>9</v>
      </c>
      <c r="C352" s="2" t="str">
        <f>HYPERLINK("https://otsuka-europe-crm.veevavault.com/ui/#object/sent_email__v/VBL000000012963", "SE-001399948")</f>
        <v>SE-001399948</v>
      </c>
      <c r="D352" s="2" t="str">
        <f>HYPERLINK("https://otsuka-europe-crm.veevavault.com/ui/#object/user__sys/23336909", "Julia Guri Rios")</f>
        <v>Julia Guri Rios</v>
      </c>
      <c r="E352" s="2" t="str">
        <f t="shared" ref="E352:E358" si="53">HYPERLINK("https://otsuka-europe-crm.veevavault.com/ui/#object/account__v/V4TZ06G6OA5WQFG", "TEST OPSA HCP TEST OPSA HCP")</f>
        <v>TEST OPSA HCP TEST OPSA HCP</v>
      </c>
      <c r="F352" s="4">
        <v>46037.579571759263</v>
      </c>
      <c r="G352" s="2" t="str">
        <f>HYPERLINK("https://otsuka-europe-crm.veevavault.com/ui/#object/approved_document__v/V5O00000000J011", "LUP - Video 8 10 cuestiones - Glucocorticoides_nefro")</f>
        <v>LUP - Video 8 10 cuestiones - Glucocorticoides_nefro</v>
      </c>
      <c r="H352" s="3" t="s">
        <v>44</v>
      </c>
      <c r="I352" s="2" t="str">
        <f t="shared" si="49"/>
        <v>CRM Integration</v>
      </c>
    </row>
    <row r="353" spans="1:9" x14ac:dyDescent="0.2">
      <c r="A353" s="2" t="str">
        <f>HYPERLINK("https://otsuka-europe-crm.veevavault.com/ui/#object/multichannel_activity__v/V9V00000000J056", "MCA-000135909")</f>
        <v>MCA-000135909</v>
      </c>
      <c r="B353" s="3" t="s">
        <v>13</v>
      </c>
      <c r="C353" s="2" t="str">
        <f>HYPERLINK("https://otsuka-europe-crm.veevavault.com/ui/#object/sent_email__v/VBL000000012963", "SE-001399948")</f>
        <v>SE-001399948</v>
      </c>
      <c r="D353" s="2" t="str">
        <f>HYPERLINK("https://otsuka-europe-crm.veevavault.com/ui/#object/user__sys/23336909", "Julia Guri Rios")</f>
        <v>Julia Guri Rios</v>
      </c>
      <c r="E353" s="2" t="str">
        <f t="shared" si="53"/>
        <v>TEST OPSA HCP TEST OPSA HCP</v>
      </c>
      <c r="F353" s="4">
        <v>46037.579571759263</v>
      </c>
      <c r="G353" s="2" t="str">
        <f>HYPERLINK("https://otsuka-europe-crm.veevavault.com/ui/#object/approved_document__v/V5O00000000J011", "LUP - Video 8 10 cuestiones - Glucocorticoides_nefro")</f>
        <v>LUP - Video 8 10 cuestiones - Glucocorticoides_nefro</v>
      </c>
      <c r="H353" s="3" t="s">
        <v>44</v>
      </c>
      <c r="I353" s="2" t="str">
        <f t="shared" ref="I353:I359" si="54">HYPERLINK("https://otsuka-europe-crm.veevavault.com/ui/#object/user__sys/27998896", "CRM Integration")</f>
        <v>CRM Integration</v>
      </c>
    </row>
    <row r="354" spans="1:9" x14ac:dyDescent="0.2">
      <c r="A354" s="2" t="str">
        <f>HYPERLINK("https://otsuka-europe-crm.veevavault.com/ui/#object/multichannel_activity__v/V9V00000000M039", "MCA-000135988")</f>
        <v>MCA-000135988</v>
      </c>
      <c r="B354" s="3" t="s">
        <v>13</v>
      </c>
      <c r="C354" s="2" t="str">
        <f>HYPERLINK("https://otsuka-europe-crm.veevavault.com/ui/#object/sent_email__v/VBL000000016088", "SE-001400196")</f>
        <v>SE-001400196</v>
      </c>
      <c r="D354" s="2" t="str">
        <f>HYPERLINK("https://otsuka-europe-crm.veevavault.com/ui/#object/user__sys/24058125", "Anna Schoggl")</f>
        <v>Anna Schoggl</v>
      </c>
      <c r="E354" s="2" t="str">
        <f t="shared" si="53"/>
        <v>TEST OPSA HCP TEST OPSA HCP</v>
      </c>
      <c r="F354" s="4">
        <v>46041.412835648145</v>
      </c>
      <c r="G354" s="2" t="str">
        <f t="shared" ref="G354:G359" si="55">HYPERLINK("https://otsuka-europe-crm.veevavault.com/ui/#object/approved_document__v/V5O00000000L002", "INA - 3r episodio Nosquedamosencasa - El rol del equipo asistencial")</f>
        <v>INA - 3r episodio Nosquedamosencasa - El rol del equipo asistencial</v>
      </c>
      <c r="H354" s="3" t="s">
        <v>45</v>
      </c>
      <c r="I354" s="2" t="str">
        <f t="shared" si="54"/>
        <v>CRM Integration</v>
      </c>
    </row>
    <row r="355" spans="1:9" x14ac:dyDescent="0.2">
      <c r="A355" s="2" t="str">
        <f>HYPERLINK("https://otsuka-europe-crm.veevavault.com/ui/#object/multichannel_activity__v/V9V00000000L037", "MCA-000135989")</f>
        <v>MCA-000135989</v>
      </c>
      <c r="B355" s="3" t="s">
        <v>9</v>
      </c>
      <c r="C355" s="2" t="str">
        <f>HYPERLINK("https://otsuka-europe-crm.veevavault.com/ui/#object/sent_email__v/VBL000000016088", "SE-001400196")</f>
        <v>SE-001400196</v>
      </c>
      <c r="D355" s="2" t="str">
        <f>HYPERLINK("https://otsuka-europe-crm.veevavault.com/ui/#object/user__sys/24058125", "Anna Schoggl")</f>
        <v>Anna Schoggl</v>
      </c>
      <c r="E355" s="2" t="str">
        <f t="shared" si="53"/>
        <v>TEST OPSA HCP TEST OPSA HCP</v>
      </c>
      <c r="F355" s="4">
        <v>46041.412835648145</v>
      </c>
      <c r="G355" s="2" t="str">
        <f t="shared" si="55"/>
        <v>INA - 3r episodio Nosquedamosencasa - El rol del equipo asistencial</v>
      </c>
      <c r="H355" s="3" t="s">
        <v>45</v>
      </c>
      <c r="I355" s="2" t="str">
        <f t="shared" si="54"/>
        <v>CRM Integration</v>
      </c>
    </row>
    <row r="356" spans="1:9" x14ac:dyDescent="0.2">
      <c r="A356" s="2" t="str">
        <f>HYPERLINK("https://otsuka-europe-crm.veevavault.com/ui/#object/multichannel_activity__v/V9V00000000L038", "MCA-000135990")</f>
        <v>MCA-000135990</v>
      </c>
      <c r="B356" s="3" t="s">
        <v>9</v>
      </c>
      <c r="C356" s="2" t="str">
        <f>HYPERLINK("https://otsuka-europe-crm.veevavault.com/ui/#object/sent_email__v/VBL000000016088", "SE-001400196")</f>
        <v>SE-001400196</v>
      </c>
      <c r="D356" s="2" t="str">
        <f>HYPERLINK("https://otsuka-europe-crm.veevavault.com/ui/#object/user__sys/24058125", "Anna Schoggl")</f>
        <v>Anna Schoggl</v>
      </c>
      <c r="E356" s="2" t="str">
        <f t="shared" si="53"/>
        <v>TEST OPSA HCP TEST OPSA HCP</v>
      </c>
      <c r="F356" s="4">
        <v>46041.412835648145</v>
      </c>
      <c r="G356" s="2" t="str">
        <f t="shared" si="55"/>
        <v>INA - 3r episodio Nosquedamosencasa - El rol del equipo asistencial</v>
      </c>
      <c r="H356" s="3" t="s">
        <v>45</v>
      </c>
      <c r="I356" s="2" t="str">
        <f t="shared" si="54"/>
        <v>CRM Integration</v>
      </c>
    </row>
    <row r="357" spans="1:9" x14ac:dyDescent="0.2">
      <c r="A357" s="2" t="str">
        <f>HYPERLINK("https://otsuka-europe-crm.veevavault.com/ui/#object/multichannel_activity__v/V9V00000000L039", "MCA-000135991")</f>
        <v>MCA-000135991</v>
      </c>
      <c r="B357" s="3" t="s">
        <v>13</v>
      </c>
      <c r="C357" s="2" t="str">
        <f>HYPERLINK("https://otsuka-europe-crm.veevavault.com/ui/#object/sent_email__v/VBL000000016088", "SE-001400196")</f>
        <v>SE-001400196</v>
      </c>
      <c r="D357" s="2" t="str">
        <f>HYPERLINK("https://otsuka-europe-crm.veevavault.com/ui/#object/user__sys/24058125", "Anna Schoggl")</f>
        <v>Anna Schoggl</v>
      </c>
      <c r="E357" s="2" t="str">
        <f t="shared" si="53"/>
        <v>TEST OPSA HCP TEST OPSA HCP</v>
      </c>
      <c r="F357" s="4">
        <v>46041.412835648145</v>
      </c>
      <c r="G357" s="2" t="str">
        <f t="shared" si="55"/>
        <v>INA - 3r episodio Nosquedamosencasa - El rol del equipo asistencial</v>
      </c>
      <c r="H357" s="3" t="s">
        <v>45</v>
      </c>
      <c r="I357" s="2" t="str">
        <f t="shared" si="54"/>
        <v>CRM Integration</v>
      </c>
    </row>
    <row r="358" spans="1:9" x14ac:dyDescent="0.2">
      <c r="A358" s="2" t="str">
        <f>HYPERLINK("https://otsuka-europe-crm.veevavault.com/ui/#object/multichannel_activity__v/V9V00000000M040", "MCA-000135992")</f>
        <v>MCA-000135992</v>
      </c>
      <c r="B358" s="3" t="s">
        <v>13</v>
      </c>
      <c r="C358" s="2" t="str">
        <f>HYPERLINK("https://otsuka-europe-crm.veevavault.com/ui/#object/sent_email__v/VBL000000016088", "SE-001400196")</f>
        <v>SE-001400196</v>
      </c>
      <c r="D358" s="2" t="str">
        <f>HYPERLINK("https://otsuka-europe-crm.veevavault.com/ui/#object/user__sys/24058125", "Anna Schoggl")</f>
        <v>Anna Schoggl</v>
      </c>
      <c r="E358" s="2" t="str">
        <f t="shared" si="53"/>
        <v>TEST OPSA HCP TEST OPSA HCP</v>
      </c>
      <c r="F358" s="4">
        <v>46041.412835648145</v>
      </c>
      <c r="G358" s="2" t="str">
        <f t="shared" si="55"/>
        <v>INA - 3r episodio Nosquedamosencasa - El rol del equipo asistencial</v>
      </c>
      <c r="H358" s="3" t="s">
        <v>45</v>
      </c>
      <c r="I358" s="2" t="str">
        <f t="shared" si="54"/>
        <v>CRM Integration</v>
      </c>
    </row>
    <row r="359" spans="1:9" x14ac:dyDescent="0.2">
      <c r="A359" s="2" t="str">
        <f>HYPERLINK("https://otsuka-europe-crm.veevavault.com/ui/#object/multichannel_activity__v/V9V00000000M046", "MCA-000135999")</f>
        <v>MCA-000135999</v>
      </c>
      <c r="B359" s="3" t="s">
        <v>9</v>
      </c>
      <c r="C359" s="2" t="str">
        <f>HYPERLINK("https://otsuka-europe-crm.veevavault.com/ui/#object/sent_email__v/VBL000000016417", "SE-001400693")</f>
        <v>SE-001400693</v>
      </c>
      <c r="D359" s="2" t="str">
        <f>HYPERLINK("https://otsuka-europe-crm.veevavault.com/ui/#object/user__sys/27667752", "VICTOR VALLADARES")</f>
        <v>VICTOR VALLADARES</v>
      </c>
      <c r="E359" s="2" t="str">
        <f>HYPERLINK("https://otsuka-europe-crm.veevavault.com/ui/#object/account__v/V4TZ025E83O4PJX", "PEDRO ANTONIO GONZALEZ SIERRA")</f>
        <v>PEDRO ANTONIO GONZALEZ SIERRA</v>
      </c>
      <c r="F359" s="4">
        <v>46043.535787037035</v>
      </c>
      <c r="G359" s="2" t="str">
        <f t="shared" si="55"/>
        <v>INA - 3r episodio Nosquedamosencasa - El rol del equipo asistencial</v>
      </c>
      <c r="H359" s="3" t="s">
        <v>45</v>
      </c>
      <c r="I359" s="2" t="str">
        <f t="shared" si="54"/>
        <v>CRM Integration</v>
      </c>
    </row>
  </sheetData>
  <autoFilter ref="A1:I359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Matt Hampsey</cp:lastModifiedBy>
  <dcterms:created xsi:type="dcterms:W3CDTF">2026-01-21T14:38:52Z</dcterms:created>
  <dcterms:modified xsi:type="dcterms:W3CDTF">2026-04-02T09:35:48Z</dcterms:modified>
</cp:coreProperties>
</file>